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ella/Documents/UGC Manchester 2026/"/>
    </mc:Choice>
  </mc:AlternateContent>
  <xr:revisionPtr revIDLastSave="0" documentId="8_{6D488E6C-5730-A743-8DD4-5386635175CF}" xr6:coauthVersionLast="47" xr6:coauthVersionMax="47" xr10:uidLastSave="{00000000-0000-0000-0000-000000000000}"/>
  <bookViews>
    <workbookView xWindow="17160" yWindow="940" windowWidth="16880" windowHeight="19660" xr2:uid="{B6486856-9B83-B54A-9234-A84BD3823045}"/>
  </bookViews>
  <sheets>
    <sheet name="University Points" sheetId="52" r:id="rId1"/>
    <sheet name="FIG MAG" sheetId="1" r:id="rId2"/>
    <sheet name="Advanced+ MAG" sheetId="40" r:id="rId3"/>
    <sheet name="Advanced MAG" sheetId="46" r:id="rId4"/>
    <sheet name="Intermediate MAG" sheetId="41" r:id="rId5"/>
    <sheet name="Novice MAG" sheetId="47" r:id="rId6"/>
    <sheet name="FIG WAG" sheetId="21" r:id="rId7"/>
    <sheet name="Adv+ WAG" sheetId="43" r:id="rId8"/>
    <sheet name="Advanced WAG" sheetId="44" r:id="rId9"/>
    <sheet name="Intermediate WAG" sheetId="45" r:id="rId10"/>
    <sheet name="Novice WAG" sheetId="48" r:id="rId11"/>
  </sheets>
  <definedNames>
    <definedName name="_xlnm._FilterDatabase" localSheetId="7" hidden="1">'Adv+ WAG'!$B$1</definedName>
    <definedName name="_xlnm._FilterDatabase" localSheetId="3" hidden="1">'Advanced MAG'!$B$1:$B$16</definedName>
    <definedName name="_xlnm._FilterDatabase" localSheetId="8" hidden="1">'Advanced WAG'!$B$1</definedName>
    <definedName name="_xlnm._FilterDatabase" localSheetId="2" hidden="1">'Advanced+ MAG'!$B$1:$B$14</definedName>
    <definedName name="_xlnm._FilterDatabase" localSheetId="1" hidden="1">'FIG MAG'!$B$1:$B$8</definedName>
    <definedName name="_xlnm._FilterDatabase" localSheetId="6" hidden="1">'FIG WAG'!$B$1</definedName>
    <definedName name="_xlnm._FilterDatabase" localSheetId="4" hidden="1">'Intermediate MAG'!$B$1:$B$21</definedName>
    <definedName name="_xlnm._FilterDatabase" localSheetId="9" hidden="1">'Intermediate WAG'!$B$1</definedName>
    <definedName name="_xlnm._FilterDatabase" localSheetId="5" hidden="1">'Novice MAG'!$B$1:$B$9</definedName>
    <definedName name="_xlnm._FilterDatabase" localSheetId="10" hidden="1">'Novice WAG'!$B$1</definedName>
  </definedNames>
  <calcPr calcId="191028"/>
  <pivotCaches>
    <pivotCache cacheId="800" r:id="rId12"/>
    <pivotCache cacheId="80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43" l="1"/>
  <c r="J18" i="43"/>
  <c r="N18" i="43"/>
  <c r="R18" i="43"/>
  <c r="V18" i="43"/>
  <c r="U25" i="52"/>
  <c r="U26" i="52"/>
  <c r="U27" i="52"/>
  <c r="U28" i="52"/>
  <c r="U29" i="52"/>
  <c r="U30" i="52"/>
  <c r="U31" i="52"/>
  <c r="U32" i="52"/>
  <c r="U33" i="52"/>
  <c r="U34" i="52"/>
  <c r="U35" i="52"/>
  <c r="U36" i="52"/>
  <c r="U37" i="52"/>
  <c r="U38" i="52"/>
  <c r="U39" i="52"/>
  <c r="U40" i="52"/>
  <c r="U41" i="52"/>
  <c r="T25" i="52"/>
  <c r="T26" i="52"/>
  <c r="T27" i="52"/>
  <c r="T28" i="52"/>
  <c r="T29" i="52"/>
  <c r="T30" i="52"/>
  <c r="T31" i="52"/>
  <c r="T32" i="52"/>
  <c r="T33" i="52"/>
  <c r="T34" i="52"/>
  <c r="T35" i="52"/>
  <c r="T36" i="52"/>
  <c r="T37" i="52"/>
  <c r="T38" i="52"/>
  <c r="T39" i="52"/>
  <c r="T40" i="52"/>
  <c r="T41" i="52"/>
  <c r="S25" i="52"/>
  <c r="S26" i="52"/>
  <c r="S27" i="52"/>
  <c r="S28" i="52"/>
  <c r="S29" i="52"/>
  <c r="S30" i="52"/>
  <c r="S31" i="52"/>
  <c r="S32" i="52"/>
  <c r="S33" i="52"/>
  <c r="S34" i="52"/>
  <c r="S35" i="52"/>
  <c r="S36" i="52"/>
  <c r="S37" i="52"/>
  <c r="S38" i="52"/>
  <c r="S39" i="52"/>
  <c r="S40" i="52"/>
  <c r="S41" i="52"/>
  <c r="R25" i="52"/>
  <c r="R26" i="52"/>
  <c r="R27" i="52"/>
  <c r="R28" i="52"/>
  <c r="R29" i="52"/>
  <c r="R30" i="52"/>
  <c r="R31" i="52"/>
  <c r="R32" i="52"/>
  <c r="R33" i="52"/>
  <c r="R34" i="52"/>
  <c r="R35" i="52"/>
  <c r="R36" i="52"/>
  <c r="R37" i="52"/>
  <c r="R38" i="52"/>
  <c r="R39" i="52"/>
  <c r="R40" i="52"/>
  <c r="R41" i="52"/>
  <c r="Q25" i="52"/>
  <c r="Q26" i="52"/>
  <c r="Q27" i="52"/>
  <c r="Q28" i="52"/>
  <c r="Q29" i="52"/>
  <c r="Q30" i="52"/>
  <c r="Q31" i="52"/>
  <c r="Q32" i="52"/>
  <c r="Q33" i="52"/>
  <c r="Q34" i="52"/>
  <c r="Q35" i="52"/>
  <c r="Q36" i="52"/>
  <c r="Q37" i="52"/>
  <c r="Q38" i="52"/>
  <c r="Q39" i="52"/>
  <c r="Q40" i="52"/>
  <c r="Q41" i="52"/>
  <c r="P25" i="52"/>
  <c r="P26" i="52"/>
  <c r="P27" i="52"/>
  <c r="P28" i="52"/>
  <c r="P29" i="52"/>
  <c r="P30" i="52"/>
  <c r="P31" i="52"/>
  <c r="P32" i="52"/>
  <c r="P33" i="52"/>
  <c r="P34" i="52"/>
  <c r="P35" i="52"/>
  <c r="P36" i="52"/>
  <c r="P37" i="52"/>
  <c r="P38" i="52"/>
  <c r="P39" i="52"/>
  <c r="P40" i="52"/>
  <c r="P41" i="52"/>
  <c r="O25" i="52"/>
  <c r="O26" i="52"/>
  <c r="O27" i="52"/>
  <c r="O28" i="52"/>
  <c r="O29" i="52"/>
  <c r="O30" i="52"/>
  <c r="O31" i="52"/>
  <c r="O32" i="52"/>
  <c r="O33" i="52"/>
  <c r="O34" i="52"/>
  <c r="O35" i="52"/>
  <c r="O36" i="52"/>
  <c r="O37" i="52"/>
  <c r="O38" i="52"/>
  <c r="O39" i="52"/>
  <c r="O40" i="52"/>
  <c r="O41" i="52"/>
  <c r="N25" i="52"/>
  <c r="N26" i="52"/>
  <c r="N27" i="52"/>
  <c r="N28" i="52"/>
  <c r="N29" i="52"/>
  <c r="N30" i="52"/>
  <c r="N31" i="52"/>
  <c r="N32" i="52"/>
  <c r="N33" i="52"/>
  <c r="N34" i="52"/>
  <c r="N35" i="52"/>
  <c r="N36" i="52"/>
  <c r="N37" i="52"/>
  <c r="N38" i="52"/>
  <c r="N39" i="52"/>
  <c r="N40" i="52"/>
  <c r="N41" i="52"/>
  <c r="M25" i="52"/>
  <c r="M26" i="52"/>
  <c r="M27" i="52"/>
  <c r="M28" i="52"/>
  <c r="M29" i="52"/>
  <c r="M30" i="52"/>
  <c r="M31" i="52"/>
  <c r="M32" i="52"/>
  <c r="M33" i="52"/>
  <c r="M34" i="52"/>
  <c r="M35" i="52"/>
  <c r="M36" i="52"/>
  <c r="M37" i="52"/>
  <c r="M38" i="52"/>
  <c r="M39" i="52"/>
  <c r="M40" i="52"/>
  <c r="M41" i="52"/>
  <c r="L25" i="52"/>
  <c r="L26" i="52"/>
  <c r="L27" i="52"/>
  <c r="L28" i="52"/>
  <c r="L29" i="52"/>
  <c r="L30" i="52"/>
  <c r="L31" i="52"/>
  <c r="L32" i="52"/>
  <c r="L33" i="52"/>
  <c r="L34" i="52"/>
  <c r="L35" i="52"/>
  <c r="L36" i="52"/>
  <c r="L37" i="52"/>
  <c r="L38" i="52"/>
  <c r="L39" i="52"/>
  <c r="L40" i="52"/>
  <c r="L41" i="52"/>
  <c r="K25" i="52"/>
  <c r="K26" i="52"/>
  <c r="K27" i="52"/>
  <c r="K28" i="52"/>
  <c r="K29" i="52"/>
  <c r="K30" i="52"/>
  <c r="K31" i="52"/>
  <c r="K32" i="52"/>
  <c r="K33" i="52"/>
  <c r="K34" i="52"/>
  <c r="K35" i="52"/>
  <c r="K36" i="52"/>
  <c r="K37" i="52"/>
  <c r="K38" i="52"/>
  <c r="K39" i="52"/>
  <c r="K40" i="52"/>
  <c r="K41" i="52"/>
  <c r="U5" i="52"/>
  <c r="U6" i="52"/>
  <c r="U7" i="52"/>
  <c r="U8" i="52"/>
  <c r="U9" i="52"/>
  <c r="U10" i="52"/>
  <c r="U11" i="52"/>
  <c r="U12" i="52"/>
  <c r="U13" i="52"/>
  <c r="U14" i="52"/>
  <c r="U15" i="52"/>
  <c r="U16" i="52"/>
  <c r="U17" i="52"/>
  <c r="U18" i="52"/>
  <c r="U19" i="52"/>
  <c r="U20" i="52"/>
  <c r="T5" i="52"/>
  <c r="T6" i="52"/>
  <c r="T7" i="52"/>
  <c r="T8" i="52"/>
  <c r="T9" i="52"/>
  <c r="T10" i="52"/>
  <c r="T11" i="52"/>
  <c r="T12" i="52"/>
  <c r="T13" i="52"/>
  <c r="T14" i="52"/>
  <c r="T15" i="52"/>
  <c r="T16" i="52"/>
  <c r="T17" i="52"/>
  <c r="T18" i="52"/>
  <c r="T19" i="52"/>
  <c r="T20" i="52"/>
  <c r="S5" i="52"/>
  <c r="S6" i="52"/>
  <c r="S7" i="52"/>
  <c r="S8" i="52"/>
  <c r="S9" i="52"/>
  <c r="S10" i="52"/>
  <c r="S11" i="52"/>
  <c r="S12" i="52"/>
  <c r="S13" i="52"/>
  <c r="S14" i="52"/>
  <c r="S15" i="52"/>
  <c r="S16" i="52"/>
  <c r="S17" i="52"/>
  <c r="S18" i="52"/>
  <c r="S19" i="52"/>
  <c r="S20" i="52"/>
  <c r="R5" i="52"/>
  <c r="R6" i="52"/>
  <c r="R7" i="52"/>
  <c r="R8" i="52"/>
  <c r="R9" i="52"/>
  <c r="R10" i="52"/>
  <c r="R11" i="52"/>
  <c r="R12" i="52"/>
  <c r="R13" i="52"/>
  <c r="R14" i="52"/>
  <c r="R15" i="52"/>
  <c r="R16" i="52"/>
  <c r="R17" i="52"/>
  <c r="R18" i="52"/>
  <c r="R19" i="52"/>
  <c r="R20" i="52"/>
  <c r="Q5" i="52"/>
  <c r="Q6" i="52"/>
  <c r="Q7" i="52"/>
  <c r="Q8" i="52"/>
  <c r="Q9" i="52"/>
  <c r="Q10" i="52"/>
  <c r="Q11" i="52"/>
  <c r="Q12" i="52"/>
  <c r="Q13" i="52"/>
  <c r="Q14" i="52"/>
  <c r="Q15" i="52"/>
  <c r="Q16" i="52"/>
  <c r="Q17" i="52"/>
  <c r="Q18" i="52"/>
  <c r="Q19" i="52"/>
  <c r="Q20" i="52"/>
  <c r="P5" i="52"/>
  <c r="P6" i="52"/>
  <c r="P7" i="52"/>
  <c r="P8" i="52"/>
  <c r="P9" i="52"/>
  <c r="P10" i="52"/>
  <c r="P11" i="52"/>
  <c r="P12" i="52"/>
  <c r="P13" i="52"/>
  <c r="P14" i="52"/>
  <c r="P15" i="52"/>
  <c r="P16" i="52"/>
  <c r="P17" i="52"/>
  <c r="P18" i="52"/>
  <c r="P19" i="52"/>
  <c r="P20" i="52"/>
  <c r="O5" i="52"/>
  <c r="O6" i="52"/>
  <c r="O7" i="52"/>
  <c r="O8" i="52"/>
  <c r="O9" i="52"/>
  <c r="O10" i="52"/>
  <c r="O11" i="52"/>
  <c r="O12" i="52"/>
  <c r="O13" i="52"/>
  <c r="O14" i="52"/>
  <c r="O15" i="52"/>
  <c r="O16" i="52"/>
  <c r="O17" i="52"/>
  <c r="O18" i="52"/>
  <c r="O19" i="52"/>
  <c r="O20" i="52"/>
  <c r="N5" i="52"/>
  <c r="M5" i="52"/>
  <c r="L5" i="52"/>
  <c r="L6" i="52"/>
  <c r="L7" i="52"/>
  <c r="L8" i="52"/>
  <c r="L9" i="52"/>
  <c r="L10" i="52"/>
  <c r="L11" i="52"/>
  <c r="L12" i="52"/>
  <c r="L13" i="52"/>
  <c r="L14" i="52"/>
  <c r="L15" i="52"/>
  <c r="L16" i="52"/>
  <c r="L17" i="52"/>
  <c r="L18" i="52"/>
  <c r="L19" i="52"/>
  <c r="L20" i="52"/>
  <c r="K5" i="52"/>
  <c r="K6" i="52"/>
  <c r="K7" i="52"/>
  <c r="K8" i="52"/>
  <c r="K9" i="52"/>
  <c r="K10" i="52"/>
  <c r="K11" i="52"/>
  <c r="K12" i="52"/>
  <c r="K13" i="52"/>
  <c r="K14" i="52"/>
  <c r="K15" i="52"/>
  <c r="K16" i="52"/>
  <c r="K17" i="52"/>
  <c r="K18" i="52"/>
  <c r="K19" i="52"/>
  <c r="K20" i="52"/>
  <c r="J20" i="52"/>
  <c r="Y29" i="52" s="1"/>
  <c r="J21" i="52"/>
  <c r="J22" i="52"/>
  <c r="K21" i="52"/>
  <c r="K22" i="52"/>
  <c r="L21" i="52"/>
  <c r="L22" i="52"/>
  <c r="M20" i="52"/>
  <c r="M21" i="52"/>
  <c r="M22" i="52"/>
  <c r="N20" i="52"/>
  <c r="N21" i="52"/>
  <c r="N22" i="52"/>
  <c r="O21" i="52"/>
  <c r="O22" i="52"/>
  <c r="P21" i="52"/>
  <c r="P22" i="52"/>
  <c r="Q21" i="52"/>
  <c r="Q22" i="52"/>
  <c r="R21" i="52"/>
  <c r="R22" i="52"/>
  <c r="S21" i="52"/>
  <c r="S22" i="52"/>
  <c r="T21" i="52"/>
  <c r="T22" i="52"/>
  <c r="U21" i="52"/>
  <c r="U22" i="52"/>
  <c r="J18" i="52"/>
  <c r="Y27" i="52" s="1"/>
  <c r="J19" i="52"/>
  <c r="Y28" i="52" s="1"/>
  <c r="M19" i="52"/>
  <c r="N19" i="52"/>
  <c r="F36" i="44"/>
  <c r="F19" i="44"/>
  <c r="F44" i="44"/>
  <c r="F30" i="44"/>
  <c r="F54" i="44"/>
  <c r="F45" i="44"/>
  <c r="F22" i="44"/>
  <c r="J38" i="52"/>
  <c r="J39" i="52"/>
  <c r="J40" i="52"/>
  <c r="J41" i="52"/>
  <c r="F15" i="46"/>
  <c r="J15" i="46"/>
  <c r="N15" i="46"/>
  <c r="R15" i="46"/>
  <c r="V15" i="46"/>
  <c r="Z15" i="46"/>
  <c r="AD15" i="46"/>
  <c r="F8" i="46"/>
  <c r="J8" i="46"/>
  <c r="N8" i="46"/>
  <c r="R8" i="46"/>
  <c r="V8" i="46"/>
  <c r="Z8" i="46"/>
  <c r="AD8" i="46"/>
  <c r="F9" i="40"/>
  <c r="J9" i="40"/>
  <c r="N9" i="40"/>
  <c r="R9" i="40"/>
  <c r="V9" i="40"/>
  <c r="Z9" i="40"/>
  <c r="AD9" i="40"/>
  <c r="F7" i="40"/>
  <c r="J7" i="40"/>
  <c r="N7" i="40"/>
  <c r="R7" i="40"/>
  <c r="V7" i="40"/>
  <c r="Z7" i="40"/>
  <c r="AD7" i="40"/>
  <c r="F8" i="40"/>
  <c r="J8" i="40"/>
  <c r="N8" i="40"/>
  <c r="R8" i="40"/>
  <c r="V8" i="40"/>
  <c r="Z8" i="40"/>
  <c r="AD8" i="40"/>
  <c r="F11" i="40"/>
  <c r="J11" i="40"/>
  <c r="N11" i="40"/>
  <c r="R11" i="40"/>
  <c r="V11" i="40"/>
  <c r="Z11" i="40"/>
  <c r="AD11" i="40"/>
  <c r="F8" i="21"/>
  <c r="J8" i="21"/>
  <c r="N8" i="21"/>
  <c r="R8" i="21"/>
  <c r="V8" i="21"/>
  <c r="F6" i="21"/>
  <c r="J6" i="21"/>
  <c r="N6" i="21"/>
  <c r="R6" i="21"/>
  <c r="V6" i="21"/>
  <c r="F5" i="21"/>
  <c r="J5" i="21"/>
  <c r="N5" i="21"/>
  <c r="R5" i="21"/>
  <c r="V5" i="21"/>
  <c r="F23" i="43"/>
  <c r="J23" i="43"/>
  <c r="N23" i="43"/>
  <c r="R23" i="43"/>
  <c r="V23" i="43"/>
  <c r="F20" i="43"/>
  <c r="J20" i="43"/>
  <c r="N20" i="43"/>
  <c r="R20" i="43"/>
  <c r="V20" i="43"/>
  <c r="F26" i="43"/>
  <c r="J26" i="43"/>
  <c r="N26" i="43"/>
  <c r="R26" i="43"/>
  <c r="V26" i="43"/>
  <c r="F17" i="43"/>
  <c r="J17" i="43"/>
  <c r="N17" i="43"/>
  <c r="R17" i="43"/>
  <c r="V17" i="43"/>
  <c r="F15" i="43"/>
  <c r="J15" i="43"/>
  <c r="N15" i="43"/>
  <c r="R15" i="43"/>
  <c r="V15" i="43"/>
  <c r="F16" i="43"/>
  <c r="J16" i="43"/>
  <c r="N16" i="43"/>
  <c r="R16" i="43"/>
  <c r="V16" i="43"/>
  <c r="F21" i="43"/>
  <c r="J21" i="43"/>
  <c r="N21" i="43"/>
  <c r="R21" i="43"/>
  <c r="V21" i="43"/>
  <c r="F12" i="46"/>
  <c r="J12" i="46"/>
  <c r="N12" i="46"/>
  <c r="R12" i="46"/>
  <c r="V12" i="46"/>
  <c r="Z12" i="46"/>
  <c r="AD12" i="46"/>
  <c r="F14" i="46"/>
  <c r="J14" i="46"/>
  <c r="N14" i="46"/>
  <c r="R14" i="46"/>
  <c r="V14" i="46"/>
  <c r="Z14" i="46"/>
  <c r="AD14" i="46"/>
  <c r="F41" i="44"/>
  <c r="J41" i="44"/>
  <c r="N41" i="44"/>
  <c r="R41" i="44"/>
  <c r="V41" i="44"/>
  <c r="F24" i="44"/>
  <c r="J24" i="44"/>
  <c r="N24" i="44"/>
  <c r="R24" i="44"/>
  <c r="V24" i="44"/>
  <c r="J30" i="44"/>
  <c r="N30" i="44"/>
  <c r="R30" i="44"/>
  <c r="V30" i="44"/>
  <c r="F28" i="44"/>
  <c r="J28" i="44"/>
  <c r="N28" i="44"/>
  <c r="R28" i="44"/>
  <c r="V28" i="44"/>
  <c r="F47" i="44"/>
  <c r="J47" i="44"/>
  <c r="N47" i="44"/>
  <c r="R47" i="44"/>
  <c r="V47" i="44"/>
  <c r="F21" i="44"/>
  <c r="J21" i="44"/>
  <c r="N21" i="44"/>
  <c r="R21" i="44"/>
  <c r="V21" i="44"/>
  <c r="F38" i="44"/>
  <c r="J38" i="44"/>
  <c r="N38" i="44"/>
  <c r="R38" i="44"/>
  <c r="V38" i="44"/>
  <c r="J44" i="44"/>
  <c r="N44" i="44"/>
  <c r="R44" i="44"/>
  <c r="V44" i="44"/>
  <c r="F50" i="44"/>
  <c r="J50" i="44"/>
  <c r="N50" i="44"/>
  <c r="R50" i="44"/>
  <c r="V50" i="44"/>
  <c r="F26" i="44"/>
  <c r="J26" i="44"/>
  <c r="N26" i="44"/>
  <c r="R26" i="44"/>
  <c r="V26" i="44"/>
  <c r="F55" i="44"/>
  <c r="J55" i="44"/>
  <c r="N55" i="44"/>
  <c r="R55" i="44"/>
  <c r="V55" i="44"/>
  <c r="J45" i="44"/>
  <c r="N45" i="44"/>
  <c r="R45" i="44"/>
  <c r="V45" i="44"/>
  <c r="F46" i="44"/>
  <c r="J46" i="44"/>
  <c r="N46" i="44"/>
  <c r="R46" i="44"/>
  <c r="V46" i="44"/>
  <c r="J22" i="44"/>
  <c r="N22" i="44"/>
  <c r="R22" i="44"/>
  <c r="V22" i="44"/>
  <c r="F25" i="44"/>
  <c r="J25" i="44"/>
  <c r="N25" i="44"/>
  <c r="R25" i="44"/>
  <c r="V25" i="44"/>
  <c r="F51" i="44"/>
  <c r="J51" i="44"/>
  <c r="N51" i="44"/>
  <c r="R51" i="44"/>
  <c r="V51" i="44"/>
  <c r="J19" i="44"/>
  <c r="N19" i="44"/>
  <c r="R19" i="44"/>
  <c r="V19" i="44"/>
  <c r="F35" i="44"/>
  <c r="J35" i="44"/>
  <c r="N35" i="44"/>
  <c r="R35" i="44"/>
  <c r="V35" i="44"/>
  <c r="F20" i="44"/>
  <c r="J20" i="44"/>
  <c r="N20" i="44"/>
  <c r="R20" i="44"/>
  <c r="V20" i="44"/>
  <c r="F32" i="44"/>
  <c r="J32" i="44"/>
  <c r="N32" i="44"/>
  <c r="R32" i="44"/>
  <c r="V32" i="44"/>
  <c r="F49" i="44"/>
  <c r="J49" i="44"/>
  <c r="N49" i="44"/>
  <c r="R49" i="44"/>
  <c r="V49" i="44"/>
  <c r="J54" i="44"/>
  <c r="N54" i="44"/>
  <c r="R54" i="44"/>
  <c r="V54" i="44"/>
  <c r="F42" i="44"/>
  <c r="J42" i="44"/>
  <c r="N42" i="44"/>
  <c r="R42" i="44"/>
  <c r="V42" i="44"/>
  <c r="F40" i="44"/>
  <c r="J40" i="44"/>
  <c r="N40" i="44"/>
  <c r="R40" i="44"/>
  <c r="V40" i="44"/>
  <c r="J36" i="44"/>
  <c r="N36" i="44"/>
  <c r="R36" i="44"/>
  <c r="V36" i="44"/>
  <c r="F64" i="45"/>
  <c r="J64" i="45"/>
  <c r="N64" i="45"/>
  <c r="R64" i="45"/>
  <c r="V64" i="45"/>
  <c r="F66" i="45"/>
  <c r="J66" i="45"/>
  <c r="N66" i="45"/>
  <c r="R66" i="45"/>
  <c r="V66" i="45"/>
  <c r="F67" i="45"/>
  <c r="J67" i="45"/>
  <c r="N67" i="45"/>
  <c r="R67" i="45"/>
  <c r="V67" i="45"/>
  <c r="F63" i="45"/>
  <c r="J63" i="45"/>
  <c r="N63" i="45"/>
  <c r="R63" i="45"/>
  <c r="V63" i="45"/>
  <c r="F65" i="45"/>
  <c r="J65" i="45"/>
  <c r="N65" i="45"/>
  <c r="R65" i="45"/>
  <c r="V65" i="45"/>
  <c r="F57" i="45"/>
  <c r="J57" i="45"/>
  <c r="N57" i="45"/>
  <c r="R57" i="45"/>
  <c r="V57" i="45"/>
  <c r="F39" i="45"/>
  <c r="J39" i="45"/>
  <c r="N39" i="45"/>
  <c r="R39" i="45"/>
  <c r="V39" i="45"/>
  <c r="F29" i="45"/>
  <c r="J29" i="45"/>
  <c r="N29" i="45"/>
  <c r="R29" i="45"/>
  <c r="V29" i="45"/>
  <c r="F53" i="45"/>
  <c r="J53" i="45"/>
  <c r="N53" i="45"/>
  <c r="R53" i="45"/>
  <c r="V53" i="45"/>
  <c r="F42" i="45"/>
  <c r="F58" i="45"/>
  <c r="F46" i="45"/>
  <c r="J42" i="45"/>
  <c r="J58" i="45"/>
  <c r="J46" i="45"/>
  <c r="N42" i="45"/>
  <c r="N58" i="45"/>
  <c r="N46" i="45"/>
  <c r="R42" i="45"/>
  <c r="R58" i="45"/>
  <c r="R46" i="45"/>
  <c r="V42" i="45"/>
  <c r="V58" i="45"/>
  <c r="V46" i="45"/>
  <c r="F38" i="45"/>
  <c r="J38" i="45"/>
  <c r="N38" i="45"/>
  <c r="R38" i="45"/>
  <c r="V38" i="45"/>
  <c r="F54" i="45"/>
  <c r="J54" i="45"/>
  <c r="N54" i="45"/>
  <c r="R54" i="45"/>
  <c r="V54" i="45"/>
  <c r="F40" i="45"/>
  <c r="J40" i="45"/>
  <c r="N40" i="45"/>
  <c r="R40" i="45"/>
  <c r="V40" i="45"/>
  <c r="F44" i="45"/>
  <c r="J44" i="45"/>
  <c r="N44" i="45"/>
  <c r="R44" i="45"/>
  <c r="V44" i="45"/>
  <c r="F55" i="45"/>
  <c r="J55" i="45"/>
  <c r="N55" i="45"/>
  <c r="R55" i="45"/>
  <c r="V55" i="45"/>
  <c r="F26" i="45"/>
  <c r="J26" i="45"/>
  <c r="N26" i="45"/>
  <c r="R26" i="45"/>
  <c r="V26" i="45"/>
  <c r="F30" i="45"/>
  <c r="J30" i="45"/>
  <c r="N30" i="45"/>
  <c r="R30" i="45"/>
  <c r="V30" i="45"/>
  <c r="F33" i="45"/>
  <c r="J33" i="45"/>
  <c r="N33" i="45"/>
  <c r="R33" i="45"/>
  <c r="V33" i="45"/>
  <c r="F62" i="45"/>
  <c r="J62" i="45"/>
  <c r="N62" i="45"/>
  <c r="R62" i="45"/>
  <c r="V62" i="45"/>
  <c r="F73" i="45"/>
  <c r="J73" i="45"/>
  <c r="N73" i="45"/>
  <c r="R73" i="45"/>
  <c r="V73" i="45"/>
  <c r="F34" i="45"/>
  <c r="N34" i="45"/>
  <c r="R34" i="45"/>
  <c r="V34" i="45"/>
  <c r="F27" i="45"/>
  <c r="J27" i="45"/>
  <c r="N27" i="45"/>
  <c r="R27" i="45"/>
  <c r="V27" i="45"/>
  <c r="F35" i="45"/>
  <c r="J35" i="45"/>
  <c r="N35" i="45"/>
  <c r="R35" i="45"/>
  <c r="V35" i="45"/>
  <c r="F45" i="45"/>
  <c r="J45" i="45"/>
  <c r="N45" i="45"/>
  <c r="R45" i="45"/>
  <c r="V45" i="45"/>
  <c r="F49" i="45"/>
  <c r="J49" i="45"/>
  <c r="N49" i="45"/>
  <c r="R49" i="45"/>
  <c r="V49" i="45"/>
  <c r="F41" i="45"/>
  <c r="J41" i="45"/>
  <c r="N41" i="45"/>
  <c r="R41" i="45"/>
  <c r="V41" i="45"/>
  <c r="V20" i="52" l="1"/>
  <c r="Z29" i="52" s="1"/>
  <c r="V19" i="52"/>
  <c r="Z28" i="52" s="1"/>
  <c r="V38" i="52"/>
  <c r="AA27" i="52" s="1"/>
  <c r="V40" i="52"/>
  <c r="AA29" i="52" s="1"/>
  <c r="V39" i="52"/>
  <c r="AA28" i="52" s="1"/>
  <c r="V41" i="52"/>
  <c r="AB29" i="52" l="1"/>
  <c r="AB28" i="52"/>
  <c r="F10" i="41"/>
  <c r="J10" i="41"/>
  <c r="N10" i="41"/>
  <c r="R10" i="41"/>
  <c r="V10" i="41"/>
  <c r="Z10" i="41"/>
  <c r="F5" i="41"/>
  <c r="J5" i="41"/>
  <c r="N5" i="41"/>
  <c r="R5" i="41"/>
  <c r="V5" i="41"/>
  <c r="Z5" i="41"/>
  <c r="F4" i="41"/>
  <c r="J4" i="41"/>
  <c r="N4" i="41"/>
  <c r="R4" i="41"/>
  <c r="V4" i="41"/>
  <c r="Z4" i="41"/>
  <c r="F2" i="41"/>
  <c r="J2" i="41"/>
  <c r="N2" i="41"/>
  <c r="R2" i="41"/>
  <c r="V2" i="41"/>
  <c r="Z2" i="41"/>
  <c r="F9" i="47"/>
  <c r="F7" i="47"/>
  <c r="F6" i="47"/>
  <c r="F4" i="47"/>
  <c r="J9" i="47"/>
  <c r="J7" i="47"/>
  <c r="J6" i="47"/>
  <c r="J4" i="47"/>
  <c r="N9" i="47"/>
  <c r="N7" i="47"/>
  <c r="N6" i="47"/>
  <c r="N4" i="47"/>
  <c r="R9" i="47"/>
  <c r="R7" i="47"/>
  <c r="R6" i="47"/>
  <c r="R4" i="47"/>
  <c r="V9" i="47"/>
  <c r="V7" i="47"/>
  <c r="V6" i="47"/>
  <c r="V4" i="47"/>
  <c r="F28" i="48"/>
  <c r="F39" i="48"/>
  <c r="F31" i="48"/>
  <c r="F33" i="48"/>
  <c r="F17" i="48"/>
  <c r="F24" i="48"/>
  <c r="F29" i="48"/>
  <c r="J28" i="48"/>
  <c r="J39" i="48"/>
  <c r="J31" i="48"/>
  <c r="J33" i="48"/>
  <c r="J17" i="48"/>
  <c r="J24" i="48"/>
  <c r="J29" i="48"/>
  <c r="N28" i="48"/>
  <c r="N39" i="48"/>
  <c r="N31" i="48"/>
  <c r="N33" i="48"/>
  <c r="N17" i="48"/>
  <c r="N24" i="48"/>
  <c r="N29" i="48"/>
  <c r="R28" i="48"/>
  <c r="R39" i="48"/>
  <c r="R31" i="48"/>
  <c r="R33" i="48"/>
  <c r="R17" i="48"/>
  <c r="R24" i="48"/>
  <c r="R29" i="48"/>
  <c r="V28" i="48"/>
  <c r="V39" i="48"/>
  <c r="V31" i="48"/>
  <c r="V33" i="48"/>
  <c r="V17" i="48"/>
  <c r="V24" i="48"/>
  <c r="V29" i="48"/>
  <c r="F11" i="48"/>
  <c r="J11" i="48"/>
  <c r="N11" i="48"/>
  <c r="R11" i="48"/>
  <c r="V11" i="48"/>
  <c r="F34" i="48"/>
  <c r="F21" i="48"/>
  <c r="F22" i="48"/>
  <c r="F19" i="48"/>
  <c r="F25" i="48"/>
  <c r="J34" i="48"/>
  <c r="J21" i="48"/>
  <c r="J22" i="48"/>
  <c r="J19" i="48"/>
  <c r="J25" i="48"/>
  <c r="N34" i="48"/>
  <c r="N21" i="48"/>
  <c r="N22" i="48"/>
  <c r="N19" i="48"/>
  <c r="N25" i="48"/>
  <c r="R34" i="48"/>
  <c r="R21" i="48"/>
  <c r="R22" i="48"/>
  <c r="R19" i="48"/>
  <c r="R25" i="48"/>
  <c r="V34" i="48"/>
  <c r="V21" i="48"/>
  <c r="V22" i="48"/>
  <c r="V19" i="48"/>
  <c r="V25" i="48"/>
  <c r="F37" i="48"/>
  <c r="J37" i="48"/>
  <c r="N37" i="48"/>
  <c r="R37" i="48"/>
  <c r="V37" i="48"/>
  <c r="F16" i="48"/>
  <c r="F32" i="48"/>
  <c r="F38" i="48"/>
  <c r="F9" i="48"/>
  <c r="J16" i="48"/>
  <c r="J32" i="48"/>
  <c r="J38" i="48"/>
  <c r="J9" i="48"/>
  <c r="N16" i="48"/>
  <c r="N32" i="48"/>
  <c r="N38" i="48"/>
  <c r="N9" i="48"/>
  <c r="R16" i="48"/>
  <c r="R32" i="48"/>
  <c r="R38" i="48"/>
  <c r="R9" i="48"/>
  <c r="V16" i="48"/>
  <c r="V32" i="48"/>
  <c r="V38" i="48"/>
  <c r="V9" i="48"/>
  <c r="F30" i="48"/>
  <c r="J30" i="48"/>
  <c r="N30" i="48"/>
  <c r="R30" i="48"/>
  <c r="V30" i="48"/>
  <c r="F27" i="48"/>
  <c r="F36" i="48"/>
  <c r="F35" i="48"/>
  <c r="F23" i="48"/>
  <c r="J27" i="48"/>
  <c r="J36" i="48"/>
  <c r="J35" i="48"/>
  <c r="J23" i="48"/>
  <c r="N27" i="48"/>
  <c r="N36" i="48"/>
  <c r="N35" i="48"/>
  <c r="N23" i="48"/>
  <c r="R27" i="48"/>
  <c r="R36" i="48"/>
  <c r="R35" i="48"/>
  <c r="R23" i="48"/>
  <c r="V27" i="48"/>
  <c r="V36" i="48"/>
  <c r="V35" i="48"/>
  <c r="V23" i="48"/>
  <c r="J8" i="1"/>
  <c r="N8" i="1"/>
  <c r="R8" i="1"/>
  <c r="V8" i="1"/>
  <c r="Z8" i="1"/>
  <c r="AD8" i="1"/>
  <c r="J25" i="52" l="1"/>
  <c r="J26" i="52"/>
  <c r="J27" i="52"/>
  <c r="J28" i="52"/>
  <c r="J29" i="52"/>
  <c r="J30" i="52"/>
  <c r="J31" i="52"/>
  <c r="J32" i="52"/>
  <c r="J33" i="52"/>
  <c r="J34" i="52"/>
  <c r="J35" i="52"/>
  <c r="J36" i="52"/>
  <c r="J37" i="52"/>
  <c r="J17" i="52"/>
  <c r="Y26" i="52" s="1"/>
  <c r="E3" i="52" a="1"/>
  <c r="E3" i="52" s="1"/>
  <c r="F3" i="52" a="1"/>
  <c r="F3" i="52" s="1"/>
  <c r="G3" i="52" a="1"/>
  <c r="G3" i="52" s="1"/>
  <c r="N6" i="52"/>
  <c r="N7" i="52"/>
  <c r="N8" i="52"/>
  <c r="N9" i="52"/>
  <c r="N10" i="52"/>
  <c r="N11" i="52"/>
  <c r="N12" i="52"/>
  <c r="N13" i="52"/>
  <c r="N14" i="52"/>
  <c r="N15" i="52"/>
  <c r="N16" i="52"/>
  <c r="M6" i="52"/>
  <c r="M7" i="52"/>
  <c r="M8" i="52"/>
  <c r="M9" i="52"/>
  <c r="M10" i="52"/>
  <c r="M11" i="52"/>
  <c r="M12" i="52"/>
  <c r="M13" i="52"/>
  <c r="M14" i="52"/>
  <c r="M15" i="52"/>
  <c r="M16" i="52"/>
  <c r="V33" i="52" l="1"/>
  <c r="AA22" i="52" s="1"/>
  <c r="V34" i="52"/>
  <c r="AA23" i="52" s="1"/>
  <c r="V26" i="52"/>
  <c r="AA15" i="52" s="1"/>
  <c r="V25" i="52"/>
  <c r="V37" i="52"/>
  <c r="V35" i="52"/>
  <c r="V32" i="52"/>
  <c r="AA21" i="52" s="1"/>
  <c r="V31" i="52"/>
  <c r="AA20" i="52" s="1"/>
  <c r="V27" i="52"/>
  <c r="AA16" i="52" s="1"/>
  <c r="V30" i="52"/>
  <c r="V29" i="52"/>
  <c r="AA18" i="52" s="1"/>
  <c r="V36" i="52"/>
  <c r="AA25" i="52" s="1"/>
  <c r="V28" i="52"/>
  <c r="AA19" i="52"/>
  <c r="C3" i="52" a="1"/>
  <c r="C3" i="52" s="1"/>
  <c r="B3" i="52" a="1"/>
  <c r="B3" i="52" s="1"/>
  <c r="A3" i="52" a="1"/>
  <c r="J16" i="52"/>
  <c r="Y25" i="52" s="1"/>
  <c r="J15" i="52"/>
  <c r="Y24" i="52" s="1"/>
  <c r="J14" i="52"/>
  <c r="Y23" i="52" s="1"/>
  <c r="J13" i="52"/>
  <c r="Y22" i="52" s="1"/>
  <c r="J12" i="52"/>
  <c r="Y21" i="52" s="1"/>
  <c r="J11" i="52"/>
  <c r="Y20" i="52" s="1"/>
  <c r="J10" i="52"/>
  <c r="Y19" i="52" s="1"/>
  <c r="J9" i="52"/>
  <c r="Y18" i="52" s="1"/>
  <c r="J8" i="52"/>
  <c r="Y17" i="52" s="1"/>
  <c r="J7" i="52"/>
  <c r="Y16" i="52" s="1"/>
  <c r="J6" i="52"/>
  <c r="Y15" i="52" s="1"/>
  <c r="J5" i="52"/>
  <c r="Y14" i="52" s="1"/>
  <c r="F18" i="48"/>
  <c r="F14" i="48"/>
  <c r="F15" i="48"/>
  <c r="F10" i="48"/>
  <c r="F8" i="48"/>
  <c r="F26" i="48"/>
  <c r="F14" i="43"/>
  <c r="J14" i="43"/>
  <c r="N14" i="43"/>
  <c r="R14" i="43"/>
  <c r="V14" i="43"/>
  <c r="V13" i="48"/>
  <c r="R13" i="48"/>
  <c r="N13" i="48"/>
  <c r="J13" i="48"/>
  <c r="F13" i="48"/>
  <c r="V4" i="48"/>
  <c r="R4" i="48"/>
  <c r="N4" i="48"/>
  <c r="J4" i="48"/>
  <c r="F4" i="48"/>
  <c r="V20" i="48"/>
  <c r="R20" i="48"/>
  <c r="N20" i="48"/>
  <c r="J20" i="48"/>
  <c r="F20" i="48"/>
  <c r="V18" i="48"/>
  <c r="R18" i="48"/>
  <c r="N18" i="48"/>
  <c r="J18" i="48"/>
  <c r="V3" i="48"/>
  <c r="R3" i="48"/>
  <c r="N3" i="48"/>
  <c r="J3" i="48"/>
  <c r="F3" i="48"/>
  <c r="V14" i="48"/>
  <c r="R14" i="48"/>
  <c r="N14" i="48"/>
  <c r="J14" i="48"/>
  <c r="V15" i="48"/>
  <c r="R15" i="48"/>
  <c r="N15" i="48"/>
  <c r="J15" i="48"/>
  <c r="V12" i="48"/>
  <c r="R12" i="48"/>
  <c r="N12" i="48"/>
  <c r="J12" i="48"/>
  <c r="F12" i="48"/>
  <c r="V5" i="48"/>
  <c r="R5" i="48"/>
  <c r="N5" i="48"/>
  <c r="J5" i="48"/>
  <c r="F5" i="48"/>
  <c r="V6" i="48"/>
  <c r="R6" i="48"/>
  <c r="N6" i="48"/>
  <c r="J6" i="48"/>
  <c r="F6" i="48"/>
  <c r="V7" i="48"/>
  <c r="R7" i="48"/>
  <c r="N7" i="48"/>
  <c r="J7" i="48"/>
  <c r="F7" i="48"/>
  <c r="V10" i="48"/>
  <c r="R10" i="48"/>
  <c r="N10" i="48"/>
  <c r="J10" i="48"/>
  <c r="V2" i="48"/>
  <c r="R2" i="48"/>
  <c r="N2" i="48"/>
  <c r="J2" i="48"/>
  <c r="F2" i="48"/>
  <c r="V8" i="48"/>
  <c r="R8" i="48"/>
  <c r="N8" i="48"/>
  <c r="J8" i="48"/>
  <c r="V26" i="48"/>
  <c r="R26" i="48"/>
  <c r="N26" i="48"/>
  <c r="J26" i="48"/>
  <c r="V16" i="45"/>
  <c r="V68" i="45"/>
  <c r="V25" i="45"/>
  <c r="V61" i="45"/>
  <c r="V24" i="45"/>
  <c r="V48" i="45"/>
  <c r="V9" i="45"/>
  <c r="V36" i="45"/>
  <c r="V74" i="45"/>
  <c r="V4" i="45"/>
  <c r="V3" i="45"/>
  <c r="V32" i="45"/>
  <c r="V23" i="45"/>
  <c r="V22" i="45"/>
  <c r="V43" i="45"/>
  <c r="V72" i="45"/>
  <c r="V14" i="45"/>
  <c r="V18" i="45"/>
  <c r="V8" i="45"/>
  <c r="V15" i="45"/>
  <c r="V20" i="45"/>
  <c r="V7" i="45"/>
  <c r="V19" i="45"/>
  <c r="V50" i="45"/>
  <c r="V59" i="45"/>
  <c r="V17" i="45"/>
  <c r="V12" i="45"/>
  <c r="V2" i="45"/>
  <c r="V31" i="45"/>
  <c r="V6" i="45"/>
  <c r="V47" i="45"/>
  <c r="V52" i="45"/>
  <c r="V70" i="45"/>
  <c r="V37" i="45"/>
  <c r="V28" i="45"/>
  <c r="V75" i="45"/>
  <c r="V69" i="45"/>
  <c r="V10" i="45"/>
  <c r="V21" i="45"/>
  <c r="V60" i="45"/>
  <c r="V56" i="45"/>
  <c r="V11" i="45"/>
  <c r="V51" i="45"/>
  <c r="V71" i="45"/>
  <c r="V76" i="45"/>
  <c r="V13" i="45"/>
  <c r="V5" i="45"/>
  <c r="R16" i="45"/>
  <c r="R68" i="45"/>
  <c r="R25" i="45"/>
  <c r="R61" i="45"/>
  <c r="R24" i="45"/>
  <c r="R48" i="45"/>
  <c r="R9" i="45"/>
  <c r="R36" i="45"/>
  <c r="R74" i="45"/>
  <c r="R4" i="45"/>
  <c r="R3" i="45"/>
  <c r="R32" i="45"/>
  <c r="R23" i="45"/>
  <c r="R22" i="45"/>
  <c r="R43" i="45"/>
  <c r="R72" i="45"/>
  <c r="R14" i="45"/>
  <c r="R18" i="45"/>
  <c r="R8" i="45"/>
  <c r="R15" i="45"/>
  <c r="R20" i="45"/>
  <c r="R7" i="45"/>
  <c r="R19" i="45"/>
  <c r="R50" i="45"/>
  <c r="R59" i="45"/>
  <c r="R17" i="45"/>
  <c r="R12" i="45"/>
  <c r="R2" i="45"/>
  <c r="R31" i="45"/>
  <c r="R6" i="45"/>
  <c r="R47" i="45"/>
  <c r="R52" i="45"/>
  <c r="R70" i="45"/>
  <c r="R37" i="45"/>
  <c r="R28" i="45"/>
  <c r="R75" i="45"/>
  <c r="R69" i="45"/>
  <c r="R10" i="45"/>
  <c r="R21" i="45"/>
  <c r="R60" i="45"/>
  <c r="R56" i="45"/>
  <c r="R11" i="45"/>
  <c r="R51" i="45"/>
  <c r="R71" i="45"/>
  <c r="R76" i="45"/>
  <c r="R13" i="45"/>
  <c r="R5" i="45"/>
  <c r="N16" i="45"/>
  <c r="N68" i="45"/>
  <c r="N25" i="45"/>
  <c r="N61" i="45"/>
  <c r="N24" i="45"/>
  <c r="N48" i="45"/>
  <c r="N9" i="45"/>
  <c r="N36" i="45"/>
  <c r="N74" i="45"/>
  <c r="N4" i="45"/>
  <c r="N3" i="45"/>
  <c r="N32" i="45"/>
  <c r="N23" i="45"/>
  <c r="N22" i="45"/>
  <c r="N43" i="45"/>
  <c r="N72" i="45"/>
  <c r="N14" i="45"/>
  <c r="N18" i="45"/>
  <c r="N8" i="45"/>
  <c r="N15" i="45"/>
  <c r="N20" i="45"/>
  <c r="N7" i="45"/>
  <c r="N19" i="45"/>
  <c r="N50" i="45"/>
  <c r="N59" i="45"/>
  <c r="N17" i="45"/>
  <c r="N12" i="45"/>
  <c r="N2" i="45"/>
  <c r="N31" i="45"/>
  <c r="N6" i="45"/>
  <c r="N47" i="45"/>
  <c r="N52" i="45"/>
  <c r="N70" i="45"/>
  <c r="N37" i="45"/>
  <c r="N28" i="45"/>
  <c r="N75" i="45"/>
  <c r="N69" i="45"/>
  <c r="N10" i="45"/>
  <c r="N21" i="45"/>
  <c r="N60" i="45"/>
  <c r="N56" i="45"/>
  <c r="N11" i="45"/>
  <c r="N51" i="45"/>
  <c r="N71" i="45"/>
  <c r="N76" i="45"/>
  <c r="N13" i="45"/>
  <c r="N5" i="45"/>
  <c r="J16" i="45"/>
  <c r="J68" i="45"/>
  <c r="J25" i="45"/>
  <c r="J61" i="45"/>
  <c r="J24" i="45"/>
  <c r="J48" i="45"/>
  <c r="J9" i="45"/>
  <c r="J36" i="45"/>
  <c r="J74" i="45"/>
  <c r="J4" i="45"/>
  <c r="J3" i="45"/>
  <c r="J32" i="45"/>
  <c r="J23" i="45"/>
  <c r="J22" i="45"/>
  <c r="J43" i="45"/>
  <c r="J72" i="45"/>
  <c r="J14" i="45"/>
  <c r="J18" i="45"/>
  <c r="J8" i="45"/>
  <c r="J15" i="45"/>
  <c r="J20" i="45"/>
  <c r="J7" i="45"/>
  <c r="J19" i="45"/>
  <c r="J50" i="45"/>
  <c r="J59" i="45"/>
  <c r="J17" i="45"/>
  <c r="J12" i="45"/>
  <c r="J2" i="45"/>
  <c r="J31" i="45"/>
  <c r="J6" i="45"/>
  <c r="J47" i="45"/>
  <c r="J52" i="45"/>
  <c r="J70" i="45"/>
  <c r="J37" i="45"/>
  <c r="J28" i="45"/>
  <c r="J75" i="45"/>
  <c r="J69" i="45"/>
  <c r="J10" i="45"/>
  <c r="J21" i="45"/>
  <c r="J60" i="45"/>
  <c r="J56" i="45"/>
  <c r="J11" i="45"/>
  <c r="J51" i="45"/>
  <c r="J71" i="45"/>
  <c r="J76" i="45"/>
  <c r="J13" i="45"/>
  <c r="J5" i="45"/>
  <c r="F16" i="45"/>
  <c r="F68" i="45"/>
  <c r="F25" i="45"/>
  <c r="F61" i="45"/>
  <c r="F24" i="45"/>
  <c r="F48" i="45"/>
  <c r="F9" i="45"/>
  <c r="F36" i="45"/>
  <c r="F74" i="45"/>
  <c r="F4" i="45"/>
  <c r="F3" i="45"/>
  <c r="F32" i="45"/>
  <c r="F23" i="45"/>
  <c r="F22" i="45"/>
  <c r="F43" i="45"/>
  <c r="F72" i="45"/>
  <c r="F14" i="45"/>
  <c r="F18" i="45"/>
  <c r="F8" i="45"/>
  <c r="F15" i="45"/>
  <c r="F20" i="45"/>
  <c r="F7" i="45"/>
  <c r="F19" i="45"/>
  <c r="F50" i="45"/>
  <c r="F59" i="45"/>
  <c r="F17" i="45"/>
  <c r="F12" i="45"/>
  <c r="F2" i="45"/>
  <c r="F31" i="45"/>
  <c r="F6" i="45"/>
  <c r="F47" i="45"/>
  <c r="F52" i="45"/>
  <c r="F70" i="45"/>
  <c r="F37" i="45"/>
  <c r="F28" i="45"/>
  <c r="F75" i="45"/>
  <c r="F69" i="45"/>
  <c r="F10" i="45"/>
  <c r="F21" i="45"/>
  <c r="F60" i="45"/>
  <c r="F56" i="45"/>
  <c r="F11" i="45"/>
  <c r="F51" i="45"/>
  <c r="F71" i="45"/>
  <c r="F76" i="45"/>
  <c r="F13" i="45"/>
  <c r="F5" i="45"/>
  <c r="V5" i="44"/>
  <c r="V31" i="44"/>
  <c r="V43" i="44"/>
  <c r="V12" i="44"/>
  <c r="V8" i="44"/>
  <c r="V56" i="44"/>
  <c r="V10" i="44"/>
  <c r="V11" i="44"/>
  <c r="V2" i="44"/>
  <c r="V23" i="44"/>
  <c r="V27" i="44"/>
  <c r="V15" i="44"/>
  <c r="V17" i="44"/>
  <c r="V14" i="44"/>
  <c r="V52" i="44"/>
  <c r="V53" i="44"/>
  <c r="V39" i="44"/>
  <c r="V13" i="44"/>
  <c r="V33" i="44"/>
  <c r="V34" i="44"/>
  <c r="V6" i="44"/>
  <c r="V9" i="44"/>
  <c r="V48" i="44"/>
  <c r="V3" i="44"/>
  <c r="V18" i="44"/>
  <c r="V7" i="44"/>
  <c r="V37" i="44"/>
  <c r="V16" i="44"/>
  <c r="V4" i="44"/>
  <c r="V29" i="44"/>
  <c r="R5" i="44"/>
  <c r="R31" i="44"/>
  <c r="R43" i="44"/>
  <c r="R12" i="44"/>
  <c r="R8" i="44"/>
  <c r="R56" i="44"/>
  <c r="R10" i="44"/>
  <c r="R11" i="44"/>
  <c r="R2" i="44"/>
  <c r="R23" i="44"/>
  <c r="R27" i="44"/>
  <c r="R15" i="44"/>
  <c r="R17" i="44"/>
  <c r="R14" i="44"/>
  <c r="R52" i="44"/>
  <c r="R53" i="44"/>
  <c r="R39" i="44"/>
  <c r="R13" i="44"/>
  <c r="R33" i="44"/>
  <c r="R34" i="44"/>
  <c r="R6" i="44"/>
  <c r="R9" i="44"/>
  <c r="R48" i="44"/>
  <c r="R3" i="44"/>
  <c r="R18" i="44"/>
  <c r="R7" i="44"/>
  <c r="R37" i="44"/>
  <c r="R16" i="44"/>
  <c r="R4" i="44"/>
  <c r="R29" i="44"/>
  <c r="N5" i="44"/>
  <c r="N31" i="44"/>
  <c r="N43" i="44"/>
  <c r="N12" i="44"/>
  <c r="N8" i="44"/>
  <c r="N56" i="44"/>
  <c r="N10" i="44"/>
  <c r="N11" i="44"/>
  <c r="N2" i="44"/>
  <c r="N23" i="44"/>
  <c r="N27" i="44"/>
  <c r="N15" i="44"/>
  <c r="N17" i="44"/>
  <c r="N14" i="44"/>
  <c r="N52" i="44"/>
  <c r="N53" i="44"/>
  <c r="N39" i="44"/>
  <c r="N13" i="44"/>
  <c r="N33" i="44"/>
  <c r="N34" i="44"/>
  <c r="N6" i="44"/>
  <c r="N9" i="44"/>
  <c r="N48" i="44"/>
  <c r="N3" i="44"/>
  <c r="N18" i="44"/>
  <c r="N7" i="44"/>
  <c r="N37" i="44"/>
  <c r="N16" i="44"/>
  <c r="N4" i="44"/>
  <c r="N29" i="44"/>
  <c r="J5" i="44"/>
  <c r="J31" i="44"/>
  <c r="J43" i="44"/>
  <c r="J12" i="44"/>
  <c r="J8" i="44"/>
  <c r="J56" i="44"/>
  <c r="J10" i="44"/>
  <c r="J11" i="44"/>
  <c r="J2" i="44"/>
  <c r="J23" i="44"/>
  <c r="J27" i="44"/>
  <c r="J15" i="44"/>
  <c r="J17" i="44"/>
  <c r="J14" i="44"/>
  <c r="J52" i="44"/>
  <c r="J53" i="44"/>
  <c r="J39" i="44"/>
  <c r="J13" i="44"/>
  <c r="J33" i="44"/>
  <c r="J34" i="44"/>
  <c r="J6" i="44"/>
  <c r="J9" i="44"/>
  <c r="J48" i="44"/>
  <c r="J3" i="44"/>
  <c r="J18" i="44"/>
  <c r="J7" i="44"/>
  <c r="J37" i="44"/>
  <c r="J16" i="44"/>
  <c r="J4" i="44"/>
  <c r="J29" i="44"/>
  <c r="F5" i="44"/>
  <c r="F31" i="44"/>
  <c r="F43" i="44"/>
  <c r="F12" i="44"/>
  <c r="F8" i="44"/>
  <c r="F56" i="44"/>
  <c r="F10" i="44"/>
  <c r="F11" i="44"/>
  <c r="F2" i="44"/>
  <c r="F23" i="44"/>
  <c r="F27" i="44"/>
  <c r="F15" i="44"/>
  <c r="F17" i="44"/>
  <c r="F14" i="44"/>
  <c r="F52" i="44"/>
  <c r="F53" i="44"/>
  <c r="F39" i="44"/>
  <c r="F13" i="44"/>
  <c r="F33" i="44"/>
  <c r="F34" i="44"/>
  <c r="F6" i="44"/>
  <c r="F9" i="44"/>
  <c r="F48" i="44"/>
  <c r="F3" i="44"/>
  <c r="F18" i="44"/>
  <c r="F7" i="44"/>
  <c r="F37" i="44"/>
  <c r="F16" i="44"/>
  <c r="F4" i="44"/>
  <c r="F29" i="44"/>
  <c r="V3" i="43"/>
  <c r="V2" i="43"/>
  <c r="V24" i="43"/>
  <c r="V13" i="43"/>
  <c r="V27" i="43"/>
  <c r="V19" i="43"/>
  <c r="V4" i="43"/>
  <c r="V25" i="43"/>
  <c r="V12" i="43"/>
  <c r="V5" i="43"/>
  <c r="V7" i="43"/>
  <c r="V8" i="43"/>
  <c r="V11" i="43"/>
  <c r="V6" i="43"/>
  <c r="V22" i="43"/>
  <c r="V9" i="43"/>
  <c r="V10" i="43"/>
  <c r="R3" i="43"/>
  <c r="R2" i="43"/>
  <c r="R24" i="43"/>
  <c r="R13" i="43"/>
  <c r="R27" i="43"/>
  <c r="R19" i="43"/>
  <c r="R4" i="43"/>
  <c r="R25" i="43"/>
  <c r="R12" i="43"/>
  <c r="R5" i="43"/>
  <c r="R7" i="43"/>
  <c r="R8" i="43"/>
  <c r="R11" i="43"/>
  <c r="R6" i="43"/>
  <c r="R22" i="43"/>
  <c r="R9" i="43"/>
  <c r="R10" i="43"/>
  <c r="N3" i="43"/>
  <c r="N2" i="43"/>
  <c r="N24" i="43"/>
  <c r="N13" i="43"/>
  <c r="N27" i="43"/>
  <c r="N19" i="43"/>
  <c r="N4" i="43"/>
  <c r="N25" i="43"/>
  <c r="N12" i="43"/>
  <c r="N5" i="43"/>
  <c r="N7" i="43"/>
  <c r="N8" i="43"/>
  <c r="N11" i="43"/>
  <c r="N6" i="43"/>
  <c r="N22" i="43"/>
  <c r="N9" i="43"/>
  <c r="N10" i="43"/>
  <c r="J3" i="43"/>
  <c r="J2" i="43"/>
  <c r="J24" i="43"/>
  <c r="J13" i="43"/>
  <c r="J27" i="43"/>
  <c r="J19" i="43"/>
  <c r="J4" i="43"/>
  <c r="J25" i="43"/>
  <c r="J12" i="43"/>
  <c r="J5" i="43"/>
  <c r="J7" i="43"/>
  <c r="J8" i="43"/>
  <c r="J11" i="43"/>
  <c r="J6" i="43"/>
  <c r="J22" i="43"/>
  <c r="J9" i="43"/>
  <c r="J10" i="43"/>
  <c r="F3" i="43"/>
  <c r="F2" i="43"/>
  <c r="F24" i="43"/>
  <c r="F13" i="43"/>
  <c r="F27" i="43"/>
  <c r="F19" i="43"/>
  <c r="F4" i="43"/>
  <c r="F25" i="43"/>
  <c r="F12" i="43"/>
  <c r="F5" i="43"/>
  <c r="F7" i="43"/>
  <c r="F8" i="43"/>
  <c r="F11" i="43"/>
  <c r="F6" i="43"/>
  <c r="F22" i="43"/>
  <c r="F9" i="43"/>
  <c r="F10" i="43"/>
  <c r="V3" i="21"/>
  <c r="V4" i="21"/>
  <c r="V7" i="21"/>
  <c r="V2" i="21"/>
  <c r="R3" i="21"/>
  <c r="R4" i="21"/>
  <c r="R7" i="21"/>
  <c r="R2" i="21"/>
  <c r="N3" i="21"/>
  <c r="N4" i="21"/>
  <c r="N7" i="21"/>
  <c r="N2" i="21"/>
  <c r="J3" i="21"/>
  <c r="J4" i="21"/>
  <c r="J7" i="21"/>
  <c r="J2" i="21"/>
  <c r="F3" i="21"/>
  <c r="F4" i="21"/>
  <c r="F7" i="21"/>
  <c r="F2" i="21"/>
  <c r="F2" i="47"/>
  <c r="V5" i="47"/>
  <c r="R5" i="47"/>
  <c r="N5" i="47"/>
  <c r="J5" i="47"/>
  <c r="F5" i="47"/>
  <c r="V8" i="47"/>
  <c r="R8" i="47"/>
  <c r="N8" i="47"/>
  <c r="J8" i="47"/>
  <c r="F8" i="47"/>
  <c r="V3" i="47"/>
  <c r="R3" i="47"/>
  <c r="N3" i="47"/>
  <c r="J3" i="47"/>
  <c r="F3" i="47"/>
  <c r="V2" i="47"/>
  <c r="R2" i="47"/>
  <c r="N2" i="47"/>
  <c r="J2" i="47"/>
  <c r="Z18" i="41"/>
  <c r="Z21" i="41"/>
  <c r="Z14" i="41"/>
  <c r="Z13" i="41"/>
  <c r="Z12" i="41"/>
  <c r="Z11" i="41"/>
  <c r="Z17" i="41"/>
  <c r="Z16" i="41"/>
  <c r="Z3" i="41"/>
  <c r="Z8" i="41"/>
  <c r="Z9" i="41"/>
  <c r="Z6" i="41"/>
  <c r="Z7" i="41"/>
  <c r="Z19" i="41"/>
  <c r="Z15" i="41"/>
  <c r="Z20" i="41"/>
  <c r="V18" i="41"/>
  <c r="V21" i="41"/>
  <c r="V14" i="41"/>
  <c r="V13" i="41"/>
  <c r="V12" i="41"/>
  <c r="V11" i="41"/>
  <c r="V17" i="41"/>
  <c r="V16" i="41"/>
  <c r="V3" i="41"/>
  <c r="V8" i="41"/>
  <c r="V9" i="41"/>
  <c r="V6" i="41"/>
  <c r="V7" i="41"/>
  <c r="V19" i="41"/>
  <c r="V15" i="41"/>
  <c r="V20" i="41"/>
  <c r="R18" i="41"/>
  <c r="R21" i="41"/>
  <c r="R14" i="41"/>
  <c r="R13" i="41"/>
  <c r="R12" i="41"/>
  <c r="R11" i="41"/>
  <c r="R17" i="41"/>
  <c r="R16" i="41"/>
  <c r="R3" i="41"/>
  <c r="R8" i="41"/>
  <c r="R9" i="41"/>
  <c r="R6" i="41"/>
  <c r="R7" i="41"/>
  <c r="R19" i="41"/>
  <c r="R15" i="41"/>
  <c r="R20" i="41"/>
  <c r="N18" i="41"/>
  <c r="N21" i="41"/>
  <c r="N14" i="41"/>
  <c r="N13" i="41"/>
  <c r="N12" i="41"/>
  <c r="N11" i="41"/>
  <c r="N17" i="41"/>
  <c r="N16" i="41"/>
  <c r="N3" i="41"/>
  <c r="N8" i="41"/>
  <c r="N9" i="41"/>
  <c r="N6" i="41"/>
  <c r="N7" i="41"/>
  <c r="N19" i="41"/>
  <c r="N15" i="41"/>
  <c r="N20" i="41"/>
  <c r="J18" i="41"/>
  <c r="J21" i="41"/>
  <c r="J14" i="41"/>
  <c r="J13" i="41"/>
  <c r="J12" i="41"/>
  <c r="J11" i="41"/>
  <c r="J17" i="41"/>
  <c r="J16" i="41"/>
  <c r="J3" i="41"/>
  <c r="J8" i="41"/>
  <c r="J9" i="41"/>
  <c r="J6" i="41"/>
  <c r="J7" i="41"/>
  <c r="J19" i="41"/>
  <c r="J15" i="41"/>
  <c r="J20" i="41"/>
  <c r="F18" i="41"/>
  <c r="F21" i="41"/>
  <c r="F14" i="41"/>
  <c r="F13" i="41"/>
  <c r="F12" i="41"/>
  <c r="F11" i="41"/>
  <c r="F17" i="41"/>
  <c r="F16" i="41"/>
  <c r="F3" i="41"/>
  <c r="F8" i="41"/>
  <c r="F9" i="41"/>
  <c r="F6" i="41"/>
  <c r="F7" i="41"/>
  <c r="F19" i="41"/>
  <c r="F15" i="41"/>
  <c r="F20" i="41"/>
  <c r="AD6" i="46"/>
  <c r="AD5" i="46"/>
  <c r="AD13" i="46"/>
  <c r="AD16" i="46"/>
  <c r="AD9" i="46"/>
  <c r="AD10" i="46"/>
  <c r="AD3" i="46"/>
  <c r="AD2" i="46"/>
  <c r="AD11" i="46"/>
  <c r="AD7" i="46"/>
  <c r="AD4" i="46"/>
  <c r="Z6" i="46"/>
  <c r="Z5" i="46"/>
  <c r="Z13" i="46"/>
  <c r="Z16" i="46"/>
  <c r="Z9" i="46"/>
  <c r="Z10" i="46"/>
  <c r="Z3" i="46"/>
  <c r="Z2" i="46"/>
  <c r="Z11" i="46"/>
  <c r="Z7" i="46"/>
  <c r="Z4" i="46"/>
  <c r="V6" i="46"/>
  <c r="V5" i="46"/>
  <c r="V13" i="46"/>
  <c r="V16" i="46"/>
  <c r="V9" i="46"/>
  <c r="V10" i="46"/>
  <c r="V3" i="46"/>
  <c r="V2" i="46"/>
  <c r="V11" i="46"/>
  <c r="V7" i="46"/>
  <c r="V4" i="46"/>
  <c r="R6" i="46"/>
  <c r="R5" i="46"/>
  <c r="R13" i="46"/>
  <c r="R16" i="46"/>
  <c r="R9" i="46"/>
  <c r="R10" i="46"/>
  <c r="R3" i="46"/>
  <c r="R2" i="46"/>
  <c r="R11" i="46"/>
  <c r="R7" i="46"/>
  <c r="R4" i="46"/>
  <c r="N6" i="46"/>
  <c r="N5" i="46"/>
  <c r="N13" i="46"/>
  <c r="N16" i="46"/>
  <c r="N9" i="46"/>
  <c r="N10" i="46"/>
  <c r="N3" i="46"/>
  <c r="N2" i="46"/>
  <c r="N11" i="46"/>
  <c r="N7" i="46"/>
  <c r="N4" i="46"/>
  <c r="J6" i="46"/>
  <c r="J5" i="46"/>
  <c r="J13" i="46"/>
  <c r="J16" i="46"/>
  <c r="J9" i="46"/>
  <c r="J10" i="46"/>
  <c r="J3" i="46"/>
  <c r="J2" i="46"/>
  <c r="J11" i="46"/>
  <c r="J7" i="46"/>
  <c r="J4" i="46"/>
  <c r="F6" i="46"/>
  <c r="F5" i="46"/>
  <c r="F13" i="46"/>
  <c r="F16" i="46"/>
  <c r="F9" i="46"/>
  <c r="F10" i="46"/>
  <c r="F3" i="46"/>
  <c r="F2" i="46"/>
  <c r="F11" i="46"/>
  <c r="F7" i="46"/>
  <c r="F4" i="46"/>
  <c r="F7" i="1"/>
  <c r="AD5" i="40"/>
  <c r="AD13" i="40"/>
  <c r="AD12" i="40"/>
  <c r="AD6" i="40"/>
  <c r="AD2" i="40"/>
  <c r="AD10" i="40"/>
  <c r="AD3" i="40"/>
  <c r="AD4" i="40"/>
  <c r="AD14" i="40"/>
  <c r="Z5" i="40"/>
  <c r="Z13" i="40"/>
  <c r="Z12" i="40"/>
  <c r="Z6" i="40"/>
  <c r="Z2" i="40"/>
  <c r="Z10" i="40"/>
  <c r="Z3" i="40"/>
  <c r="Z4" i="40"/>
  <c r="Z14" i="40"/>
  <c r="V5" i="40"/>
  <c r="V13" i="40"/>
  <c r="V12" i="40"/>
  <c r="V6" i="40"/>
  <c r="V2" i="40"/>
  <c r="V10" i="40"/>
  <c r="V3" i="40"/>
  <c r="V4" i="40"/>
  <c r="V14" i="40"/>
  <c r="R5" i="40"/>
  <c r="R13" i="40"/>
  <c r="R12" i="40"/>
  <c r="R6" i="40"/>
  <c r="R2" i="40"/>
  <c r="R10" i="40"/>
  <c r="R3" i="40"/>
  <c r="R4" i="40"/>
  <c r="R14" i="40"/>
  <c r="N5" i="40"/>
  <c r="N13" i="40"/>
  <c r="N12" i="40"/>
  <c r="N6" i="40"/>
  <c r="N2" i="40"/>
  <c r="N10" i="40"/>
  <c r="N3" i="40"/>
  <c r="N4" i="40"/>
  <c r="N14" i="40"/>
  <c r="J5" i="40"/>
  <c r="J13" i="40"/>
  <c r="J12" i="40"/>
  <c r="J6" i="40"/>
  <c r="J2" i="40"/>
  <c r="J10" i="40"/>
  <c r="J3" i="40"/>
  <c r="J4" i="40"/>
  <c r="J14" i="40"/>
  <c r="F5" i="40"/>
  <c r="F13" i="40"/>
  <c r="F12" i="40"/>
  <c r="F6" i="40"/>
  <c r="F2" i="40"/>
  <c r="F10" i="40"/>
  <c r="F3" i="40"/>
  <c r="F4" i="40"/>
  <c r="F14" i="40"/>
  <c r="AD7" i="1"/>
  <c r="AD6" i="1"/>
  <c r="AD4" i="1"/>
  <c r="AD5" i="1"/>
  <c r="AD3" i="1"/>
  <c r="AD2" i="1"/>
  <c r="V7" i="1"/>
  <c r="V6" i="1"/>
  <c r="V4" i="1"/>
  <c r="V5" i="1"/>
  <c r="V3" i="1"/>
  <c r="V2" i="1"/>
  <c r="Z7" i="1"/>
  <c r="Z6" i="1"/>
  <c r="Z4" i="1"/>
  <c r="Z5" i="1"/>
  <c r="Z3" i="1"/>
  <c r="Z2" i="1"/>
  <c r="F6" i="1"/>
  <c r="R7" i="1"/>
  <c r="R6" i="1"/>
  <c r="R4" i="1"/>
  <c r="R5" i="1"/>
  <c r="R3" i="1"/>
  <c r="R2" i="1"/>
  <c r="N7" i="1"/>
  <c r="N6" i="1"/>
  <c r="N4" i="1"/>
  <c r="N5" i="1"/>
  <c r="N3" i="1"/>
  <c r="N2" i="1"/>
  <c r="J7" i="1"/>
  <c r="J6" i="1"/>
  <c r="J4" i="1"/>
  <c r="J5" i="1"/>
  <c r="J3" i="1"/>
  <c r="J2" i="1"/>
  <c r="F2" i="1"/>
  <c r="F3" i="1"/>
  <c r="F5" i="1"/>
  <c r="F4" i="1"/>
  <c r="S8" i="21" l="1"/>
  <c r="K8" i="21"/>
  <c r="S6" i="21"/>
  <c r="G18" i="43"/>
  <c r="K18" i="43"/>
  <c r="S18" i="43"/>
  <c r="W18" i="43"/>
  <c r="O18" i="43"/>
  <c r="W40" i="52"/>
  <c r="W41" i="52"/>
  <c r="W38" i="52"/>
  <c r="W39" i="52"/>
  <c r="AA26" i="52"/>
  <c r="W37" i="52"/>
  <c r="K15" i="46"/>
  <c r="W15" i="46"/>
  <c r="AA15" i="46"/>
  <c r="G15" i="46"/>
  <c r="S15" i="46"/>
  <c r="O15" i="46"/>
  <c r="AE15" i="46"/>
  <c r="G8" i="46"/>
  <c r="K8" i="46"/>
  <c r="W8" i="46"/>
  <c r="O8" i="46"/>
  <c r="AA8" i="46"/>
  <c r="S8" i="46"/>
  <c r="AE8" i="46"/>
  <c r="S12" i="46"/>
  <c r="W9" i="40"/>
  <c r="AE9" i="40"/>
  <c r="K9" i="40"/>
  <c r="S7" i="40"/>
  <c r="S9" i="40"/>
  <c r="AA9" i="40"/>
  <c r="G9" i="40"/>
  <c r="O9" i="40"/>
  <c r="AE7" i="40"/>
  <c r="G7" i="40"/>
  <c r="W8" i="40"/>
  <c r="W7" i="40"/>
  <c r="AA7" i="40"/>
  <c r="K7" i="40"/>
  <c r="O7" i="40"/>
  <c r="S11" i="40"/>
  <c r="S8" i="40"/>
  <c r="AE8" i="40"/>
  <c r="AA8" i="40"/>
  <c r="G8" i="40"/>
  <c r="K8" i="40"/>
  <c r="O8" i="40"/>
  <c r="W11" i="40"/>
  <c r="AA11" i="40"/>
  <c r="AE11" i="40"/>
  <c r="G11" i="40"/>
  <c r="K11" i="40"/>
  <c r="O11" i="40"/>
  <c r="G8" i="21"/>
  <c r="O8" i="21"/>
  <c r="W8" i="21"/>
  <c r="K5" i="21"/>
  <c r="K6" i="21"/>
  <c r="G6" i="21"/>
  <c r="O6" i="21"/>
  <c r="W6" i="21"/>
  <c r="S5" i="21"/>
  <c r="O5" i="21"/>
  <c r="G5" i="21"/>
  <c r="W5" i="21"/>
  <c r="K23" i="43"/>
  <c r="O23" i="43"/>
  <c r="S23" i="43"/>
  <c r="W23" i="43"/>
  <c r="G23" i="43"/>
  <c r="K26" i="43"/>
  <c r="K20" i="43"/>
  <c r="W20" i="43"/>
  <c r="O20" i="43"/>
  <c r="S20" i="43"/>
  <c r="G20" i="43"/>
  <c r="S26" i="43"/>
  <c r="O26" i="43"/>
  <c r="W26" i="43"/>
  <c r="G26" i="43"/>
  <c r="O17" i="43"/>
  <c r="S17" i="43"/>
  <c r="K15" i="43"/>
  <c r="K17" i="43"/>
  <c r="W17" i="43"/>
  <c r="G17" i="43"/>
  <c r="O15" i="43"/>
  <c r="W15" i="43"/>
  <c r="S15" i="43"/>
  <c r="G15" i="43"/>
  <c r="S16" i="43"/>
  <c r="K21" i="43"/>
  <c r="K16" i="43"/>
  <c r="O16" i="43"/>
  <c r="W16" i="43"/>
  <c r="G16" i="43"/>
  <c r="O21" i="43"/>
  <c r="S21" i="43"/>
  <c r="W21" i="43"/>
  <c r="G21" i="43"/>
  <c r="O14" i="46"/>
  <c r="O12" i="46"/>
  <c r="W14" i="46"/>
  <c r="W12" i="46"/>
  <c r="G14" i="46"/>
  <c r="G12" i="46"/>
  <c r="AE14" i="46"/>
  <c r="AE12" i="46"/>
  <c r="AA12" i="46"/>
  <c r="K12" i="46"/>
  <c r="AA14" i="46"/>
  <c r="K14" i="46"/>
  <c r="S14" i="46"/>
  <c r="S41" i="44"/>
  <c r="G41" i="44"/>
  <c r="K41" i="44"/>
  <c r="O41" i="44"/>
  <c r="W41" i="44"/>
  <c r="S24" i="44"/>
  <c r="G24" i="44"/>
  <c r="O24" i="44"/>
  <c r="K24" i="44"/>
  <c r="W24" i="44"/>
  <c r="S30" i="44"/>
  <c r="O30" i="44"/>
  <c r="K30" i="44"/>
  <c r="G30" i="44"/>
  <c r="W30" i="44"/>
  <c r="G28" i="44"/>
  <c r="O28" i="44"/>
  <c r="K28" i="44"/>
  <c r="W28" i="44"/>
  <c r="S28" i="44"/>
  <c r="G47" i="44"/>
  <c r="K47" i="44"/>
  <c r="S21" i="44"/>
  <c r="S47" i="44"/>
  <c r="O47" i="44"/>
  <c r="W47" i="44"/>
  <c r="O21" i="44"/>
  <c r="K21" i="44"/>
  <c r="G21" i="44"/>
  <c r="W21" i="44"/>
  <c r="G38" i="44"/>
  <c r="K38" i="44"/>
  <c r="S38" i="44"/>
  <c r="O38" i="44"/>
  <c r="W38" i="44"/>
  <c r="S44" i="44"/>
  <c r="O50" i="44"/>
  <c r="O44" i="44"/>
  <c r="K44" i="44"/>
  <c r="G44" i="44"/>
  <c r="W44" i="44"/>
  <c r="K50" i="44"/>
  <c r="G50" i="44"/>
  <c r="W50" i="44"/>
  <c r="S50" i="44"/>
  <c r="O26" i="44"/>
  <c r="K26" i="44"/>
  <c r="S26" i="44"/>
  <c r="G26" i="44"/>
  <c r="W26" i="44"/>
  <c r="S55" i="44"/>
  <c r="G55" i="44"/>
  <c r="O55" i="44"/>
  <c r="K55" i="44"/>
  <c r="W55" i="44"/>
  <c r="K45" i="44"/>
  <c r="G45" i="44"/>
  <c r="S45" i="44"/>
  <c r="O45" i="44"/>
  <c r="W45" i="44"/>
  <c r="G46" i="44"/>
  <c r="O46" i="44"/>
  <c r="K46" i="44"/>
  <c r="W46" i="44"/>
  <c r="S22" i="44"/>
  <c r="S46" i="44"/>
  <c r="O22" i="44"/>
  <c r="K22" i="44"/>
  <c r="G22" i="44"/>
  <c r="W22" i="44"/>
  <c r="O25" i="44"/>
  <c r="K25" i="44"/>
  <c r="S51" i="44"/>
  <c r="S25" i="44"/>
  <c r="G25" i="44"/>
  <c r="W25" i="44"/>
  <c r="K51" i="44"/>
  <c r="O51" i="44"/>
  <c r="G51" i="44"/>
  <c r="W51" i="44"/>
  <c r="S19" i="44"/>
  <c r="O19" i="44"/>
  <c r="K19" i="44"/>
  <c r="G19" i="44"/>
  <c r="W19" i="44"/>
  <c r="K35" i="44"/>
  <c r="S20" i="44"/>
  <c r="S35" i="44"/>
  <c r="O35" i="44"/>
  <c r="G35" i="44"/>
  <c r="W35" i="44"/>
  <c r="K20" i="44"/>
  <c r="G20" i="44"/>
  <c r="O32" i="44"/>
  <c r="O20" i="44"/>
  <c r="W20" i="44"/>
  <c r="K32" i="44"/>
  <c r="G32" i="44"/>
  <c r="W32" i="44"/>
  <c r="S32" i="44"/>
  <c r="G49" i="44"/>
  <c r="O49" i="44"/>
  <c r="K49" i="44"/>
  <c r="W49" i="44"/>
  <c r="S49" i="44"/>
  <c r="G54" i="44"/>
  <c r="S54" i="44"/>
  <c r="O54" i="44"/>
  <c r="K54" i="44"/>
  <c r="W54" i="44"/>
  <c r="S40" i="44"/>
  <c r="S42" i="44"/>
  <c r="O42" i="44"/>
  <c r="K42" i="44"/>
  <c r="G42" i="44"/>
  <c r="W42" i="44"/>
  <c r="O40" i="44"/>
  <c r="K40" i="44"/>
  <c r="G40" i="44"/>
  <c r="W40" i="44"/>
  <c r="O36" i="44"/>
  <c r="K36" i="44"/>
  <c r="G36" i="44"/>
  <c r="W36" i="44"/>
  <c r="S36" i="44"/>
  <c r="S64" i="45"/>
  <c r="W64" i="45"/>
  <c r="O64" i="45"/>
  <c r="K64" i="45"/>
  <c r="G64" i="45"/>
  <c r="G66" i="45"/>
  <c r="W66" i="45"/>
  <c r="S66" i="45"/>
  <c r="O66" i="45"/>
  <c r="K66" i="45"/>
  <c r="G63" i="45"/>
  <c r="G67" i="45"/>
  <c r="W67" i="45"/>
  <c r="S67" i="45"/>
  <c r="O67" i="45"/>
  <c r="K67" i="45"/>
  <c r="O63" i="45"/>
  <c r="W63" i="45"/>
  <c r="S63" i="45"/>
  <c r="K63" i="45"/>
  <c r="O65" i="45"/>
  <c r="W65" i="45"/>
  <c r="S65" i="45"/>
  <c r="K65" i="45"/>
  <c r="G65" i="45"/>
  <c r="W57" i="45"/>
  <c r="G39" i="45"/>
  <c r="G57" i="45"/>
  <c r="O57" i="45"/>
  <c r="S57" i="45"/>
  <c r="K57" i="45"/>
  <c r="S39" i="45"/>
  <c r="O39" i="45"/>
  <c r="W39" i="45"/>
  <c r="K39" i="45"/>
  <c r="G53" i="45"/>
  <c r="G29" i="45"/>
  <c r="O29" i="45"/>
  <c r="W29" i="45"/>
  <c r="S29" i="45"/>
  <c r="K29" i="45"/>
  <c r="W53" i="45"/>
  <c r="O53" i="45"/>
  <c r="S53" i="45"/>
  <c r="K53" i="45"/>
  <c r="G42" i="45"/>
  <c r="G46" i="45"/>
  <c r="G58" i="45"/>
  <c r="W42" i="45"/>
  <c r="W46" i="45"/>
  <c r="W58" i="45"/>
  <c r="O42" i="45"/>
  <c r="O58" i="45"/>
  <c r="O46" i="45"/>
  <c r="S42" i="45"/>
  <c r="S58" i="45"/>
  <c r="S46" i="45"/>
  <c r="K46" i="45"/>
  <c r="K42" i="45"/>
  <c r="K58" i="45"/>
  <c r="W38" i="45"/>
  <c r="S38" i="45"/>
  <c r="O38" i="45"/>
  <c r="K38" i="45"/>
  <c r="G38" i="45"/>
  <c r="G40" i="45"/>
  <c r="G54" i="45"/>
  <c r="W54" i="45"/>
  <c r="S54" i="45"/>
  <c r="O54" i="45"/>
  <c r="K54" i="45"/>
  <c r="W40" i="45"/>
  <c r="S40" i="45"/>
  <c r="O40" i="45"/>
  <c r="K40" i="45"/>
  <c r="S44" i="45"/>
  <c r="O44" i="45"/>
  <c r="W44" i="45"/>
  <c r="K44" i="45"/>
  <c r="G55" i="45"/>
  <c r="G44" i="45"/>
  <c r="O55" i="45"/>
  <c r="W55" i="45"/>
  <c r="S55" i="45"/>
  <c r="K55" i="45"/>
  <c r="W26" i="45"/>
  <c r="S26" i="45"/>
  <c r="O26" i="45"/>
  <c r="K26" i="45"/>
  <c r="G26" i="45"/>
  <c r="G30" i="45"/>
  <c r="W30" i="45"/>
  <c r="S30" i="45"/>
  <c r="O30" i="45"/>
  <c r="K30" i="45"/>
  <c r="W33" i="45"/>
  <c r="O33" i="45"/>
  <c r="S33" i="45"/>
  <c r="K33" i="45"/>
  <c r="G33" i="45"/>
  <c r="G73" i="45"/>
  <c r="G62" i="45"/>
  <c r="W62" i="45"/>
  <c r="O62" i="45"/>
  <c r="K62" i="45"/>
  <c r="S62" i="45"/>
  <c r="W73" i="45"/>
  <c r="O73" i="45"/>
  <c r="S73" i="45"/>
  <c r="K73" i="45"/>
  <c r="W34" i="45"/>
  <c r="G27" i="45"/>
  <c r="G34" i="45"/>
  <c r="S34" i="45"/>
  <c r="O34" i="45"/>
  <c r="K34" i="45"/>
  <c r="W27" i="45"/>
  <c r="S27" i="45"/>
  <c r="O27" i="45"/>
  <c r="K27" i="45"/>
  <c r="W35" i="45"/>
  <c r="S35" i="45"/>
  <c r="O35" i="45"/>
  <c r="K35" i="45"/>
  <c r="G45" i="45"/>
  <c r="G35" i="45"/>
  <c r="W45" i="45"/>
  <c r="S45" i="45"/>
  <c r="O45" i="45"/>
  <c r="K45" i="45"/>
  <c r="W49" i="45"/>
  <c r="O49" i="45"/>
  <c r="G41" i="45"/>
  <c r="G49" i="45"/>
  <c r="S49" i="45"/>
  <c r="K49" i="45"/>
  <c r="W41" i="45"/>
  <c r="S41" i="45"/>
  <c r="O41" i="45"/>
  <c r="K41" i="45"/>
  <c r="O10" i="41"/>
  <c r="G10" i="41"/>
  <c r="AA10" i="41"/>
  <c r="K10" i="41"/>
  <c r="S10" i="41"/>
  <c r="W10" i="41"/>
  <c r="K5" i="41"/>
  <c r="S5" i="41"/>
  <c r="AA5" i="41"/>
  <c r="O4" i="41"/>
  <c r="O5" i="41"/>
  <c r="G5" i="41"/>
  <c r="W5" i="41"/>
  <c r="G4" i="41"/>
  <c r="K4" i="41"/>
  <c r="W4" i="41"/>
  <c r="S4" i="41"/>
  <c r="AA4" i="41"/>
  <c r="S2" i="41"/>
  <c r="AA2" i="41"/>
  <c r="G2" i="41"/>
  <c r="K2" i="41"/>
  <c r="O2" i="41"/>
  <c r="W2" i="41"/>
  <c r="S9" i="47"/>
  <c r="S6" i="47"/>
  <c r="S7" i="47"/>
  <c r="S4" i="47"/>
  <c r="W9" i="47"/>
  <c r="W7" i="47"/>
  <c r="W4" i="47"/>
  <c r="W6" i="47"/>
  <c r="G7" i="47"/>
  <c r="G6" i="47"/>
  <c r="G9" i="47"/>
  <c r="G4" i="47"/>
  <c r="K7" i="47"/>
  <c r="K9" i="47"/>
  <c r="K6" i="47"/>
  <c r="K4" i="47"/>
  <c r="O9" i="47"/>
  <c r="O7" i="47"/>
  <c r="O6" i="47"/>
  <c r="O4" i="47"/>
  <c r="G39" i="48"/>
  <c r="G17" i="48"/>
  <c r="G28" i="48"/>
  <c r="G31" i="48"/>
  <c r="G29" i="48"/>
  <c r="G33" i="48"/>
  <c r="G24" i="48"/>
  <c r="K33" i="48"/>
  <c r="K31" i="48"/>
  <c r="K17" i="48"/>
  <c r="K28" i="48"/>
  <c r="K24" i="48"/>
  <c r="K29" i="48"/>
  <c r="K39" i="48"/>
  <c r="W28" i="48"/>
  <c r="W31" i="48"/>
  <c r="W33" i="48"/>
  <c r="W29" i="48"/>
  <c r="W17" i="48"/>
  <c r="W39" i="48"/>
  <c r="W24" i="48"/>
  <c r="S28" i="48"/>
  <c r="S29" i="48"/>
  <c r="S31" i="48"/>
  <c r="S24" i="48"/>
  <c r="S39" i="48"/>
  <c r="S33" i="48"/>
  <c r="S17" i="48"/>
  <c r="O29" i="48"/>
  <c r="O17" i="48"/>
  <c r="O39" i="48"/>
  <c r="O31" i="48"/>
  <c r="O28" i="48"/>
  <c r="O33" i="48"/>
  <c r="O24" i="48"/>
  <c r="W11" i="48"/>
  <c r="G11" i="48"/>
  <c r="K11" i="48"/>
  <c r="O11" i="48"/>
  <c r="S11" i="48"/>
  <c r="W34" i="48"/>
  <c r="W21" i="48"/>
  <c r="W22" i="48"/>
  <c r="W19" i="48"/>
  <c r="W25" i="48"/>
  <c r="K34" i="48"/>
  <c r="K19" i="48"/>
  <c r="K22" i="48"/>
  <c r="K21" i="48"/>
  <c r="K25" i="48"/>
  <c r="G21" i="48"/>
  <c r="G34" i="48"/>
  <c r="G22" i="48"/>
  <c r="G25" i="48"/>
  <c r="G19" i="48"/>
  <c r="S21" i="48"/>
  <c r="S22" i="48"/>
  <c r="S19" i="48"/>
  <c r="S25" i="48"/>
  <c r="S34" i="48"/>
  <c r="O19" i="48"/>
  <c r="O25" i="48"/>
  <c r="O34" i="48"/>
  <c r="O22" i="48"/>
  <c r="O21" i="48"/>
  <c r="W37" i="48"/>
  <c r="K37" i="48"/>
  <c r="G37" i="48"/>
  <c r="O37" i="48"/>
  <c r="S37" i="48"/>
  <c r="W32" i="48"/>
  <c r="W16" i="48"/>
  <c r="W9" i="48"/>
  <c r="W38" i="48"/>
  <c r="G32" i="48"/>
  <c r="G9" i="48"/>
  <c r="G16" i="48"/>
  <c r="G38" i="48"/>
  <c r="K16" i="48"/>
  <c r="K32" i="48"/>
  <c r="K9" i="48"/>
  <c r="K38" i="48"/>
  <c r="S9" i="48"/>
  <c r="S16" i="48"/>
  <c r="S32" i="48"/>
  <c r="S38" i="48"/>
  <c r="O32" i="48"/>
  <c r="O16" i="48"/>
  <c r="O38" i="48"/>
  <c r="O9" i="48"/>
  <c r="S30" i="48"/>
  <c r="W30" i="48"/>
  <c r="G30" i="48"/>
  <c r="K30" i="48"/>
  <c r="O30" i="48"/>
  <c r="S36" i="48"/>
  <c r="S27" i="48"/>
  <c r="S35" i="48"/>
  <c r="S23" i="48"/>
  <c r="W27" i="48"/>
  <c r="W35" i="48"/>
  <c r="W23" i="48"/>
  <c r="W36" i="48"/>
  <c r="K27" i="48"/>
  <c r="K36" i="48"/>
  <c r="K35" i="48"/>
  <c r="K23" i="48"/>
  <c r="G36" i="48"/>
  <c r="G35" i="48"/>
  <c r="G27" i="48"/>
  <c r="G23" i="48"/>
  <c r="O27" i="48"/>
  <c r="O36" i="48"/>
  <c r="O23" i="48"/>
  <c r="O35" i="48"/>
  <c r="O18" i="48"/>
  <c r="S13" i="48"/>
  <c r="W26" i="52"/>
  <c r="W31" i="52"/>
  <c r="W27" i="52"/>
  <c r="W33" i="52"/>
  <c r="W32" i="52"/>
  <c r="AA17" i="52"/>
  <c r="W28" i="52"/>
  <c r="AA24" i="52"/>
  <c r="W36" i="52"/>
  <c r="W25" i="52"/>
  <c r="W35" i="52"/>
  <c r="W29" i="52"/>
  <c r="W30" i="52"/>
  <c r="W34" i="52"/>
  <c r="AA14" i="52"/>
  <c r="A3" i="52"/>
  <c r="N18" i="52"/>
  <c r="N17" i="52"/>
  <c r="M17" i="52"/>
  <c r="M18" i="52"/>
  <c r="W7" i="48"/>
  <c r="S5" i="48"/>
  <c r="K15" i="48"/>
  <c r="G12" i="48"/>
  <c r="S2" i="48"/>
  <c r="G14" i="48"/>
  <c r="K12" i="48"/>
  <c r="S3" i="48"/>
  <c r="K20" i="48"/>
  <c r="K10" i="48"/>
  <c r="S12" i="48"/>
  <c r="W14" i="48"/>
  <c r="O2" i="48"/>
  <c r="W8" i="48"/>
  <c r="O10" i="48"/>
  <c r="O5" i="48"/>
  <c r="K7" i="48"/>
  <c r="K8" i="48"/>
  <c r="W15" i="48"/>
  <c r="G6" i="48"/>
  <c r="G15" i="48"/>
  <c r="S14" i="48"/>
  <c r="W20" i="48"/>
  <c r="O13" i="48"/>
  <c r="K14" i="43"/>
  <c r="W14" i="43"/>
  <c r="O14" i="43"/>
  <c r="S11" i="43"/>
  <c r="S14" i="43"/>
  <c r="G14" i="43"/>
  <c r="S5" i="43"/>
  <c r="K26" i="48"/>
  <c r="O14" i="48"/>
  <c r="K2" i="48"/>
  <c r="G7" i="48"/>
  <c r="S15" i="48"/>
  <c r="O3" i="48"/>
  <c r="K6" i="48"/>
  <c r="G8" i="48"/>
  <c r="G2" i="48"/>
  <c r="W10" i="48"/>
  <c r="S6" i="48"/>
  <c r="O12" i="48"/>
  <c r="O15" i="48"/>
  <c r="K3" i="48"/>
  <c r="G20" i="48"/>
  <c r="W4" i="48"/>
  <c r="W13" i="48"/>
  <c r="K18" i="48"/>
  <c r="G13" i="48"/>
  <c r="O26" i="48"/>
  <c r="W6" i="48"/>
  <c r="K4" i="48"/>
  <c r="O8" i="48"/>
  <c r="K13" i="48"/>
  <c r="S8" i="48"/>
  <c r="O7" i="48"/>
  <c r="K5" i="48"/>
  <c r="W3" i="48"/>
  <c r="S20" i="48"/>
  <c r="G10" i="48"/>
  <c r="G4" i="48"/>
  <c r="W12" i="48"/>
  <c r="S26" i="48"/>
  <c r="O4" i="48"/>
  <c r="W26" i="48"/>
  <c r="S10" i="48"/>
  <c r="O6" i="48"/>
  <c r="G3" i="48"/>
  <c r="W18" i="48"/>
  <c r="S4" i="48"/>
  <c r="W5" i="48"/>
  <c r="G5" i="48"/>
  <c r="O20" i="48"/>
  <c r="S18" i="48"/>
  <c r="G26" i="48"/>
  <c r="W2" i="48"/>
  <c r="S7" i="48"/>
  <c r="K14" i="48"/>
  <c r="G18" i="48"/>
  <c r="S12" i="43"/>
  <c r="W8" i="47"/>
  <c r="S3" i="47"/>
  <c r="S5" i="47"/>
  <c r="K5" i="47"/>
  <c r="W2" i="47"/>
  <c r="W3" i="47"/>
  <c r="W5" i="47"/>
  <c r="S2" i="47"/>
  <c r="S8" i="47"/>
  <c r="O2" i="47"/>
  <c r="O3" i="47"/>
  <c r="O8" i="47"/>
  <c r="O5" i="47"/>
  <c r="K2" i="47"/>
  <c r="K3" i="47"/>
  <c r="K8" i="47"/>
  <c r="G2" i="47"/>
  <c r="G3" i="47"/>
  <c r="G8" i="47"/>
  <c r="G5" i="47"/>
  <c r="G16" i="41"/>
  <c r="G15" i="41"/>
  <c r="G17" i="41"/>
  <c r="G7" i="41"/>
  <c r="G12" i="41"/>
  <c r="G19" i="41"/>
  <c r="G18" i="41"/>
  <c r="G20" i="41"/>
  <c r="G13" i="41"/>
  <c r="G11" i="41"/>
  <c r="G9" i="41"/>
  <c r="G14" i="41"/>
  <c r="G6" i="41"/>
  <c r="G8" i="41"/>
  <c r="G21" i="41"/>
  <c r="G3" i="41"/>
  <c r="S11" i="46"/>
  <c r="AE3" i="46"/>
  <c r="S4" i="46"/>
  <c r="AE7" i="46"/>
  <c r="AE11" i="46"/>
  <c r="AE4" i="46"/>
  <c r="AA9" i="46"/>
  <c r="AA2" i="46"/>
  <c r="AA3" i="46"/>
  <c r="W7" i="46"/>
  <c r="S5" i="46"/>
  <c r="S13" i="46"/>
  <c r="S6" i="46"/>
  <c r="S10" i="46"/>
  <c r="O5" i="46"/>
  <c r="O10" i="46"/>
  <c r="O11" i="46"/>
  <c r="O4" i="46"/>
  <c r="K6" i="46"/>
  <c r="G13" i="46"/>
  <c r="G3" i="46"/>
  <c r="G11" i="46"/>
  <c r="G4" i="46"/>
  <c r="AE9" i="46"/>
  <c r="AA4" i="46"/>
  <c r="AA11" i="46"/>
  <c r="AA7" i="46"/>
  <c r="W4" i="46"/>
  <c r="W16" i="46"/>
  <c r="W2" i="46"/>
  <c r="W10" i="46"/>
  <c r="W11" i="46"/>
  <c r="S7" i="46"/>
  <c r="O9" i="46"/>
  <c r="O6" i="46"/>
  <c r="O3" i="46"/>
  <c r="O7" i="46"/>
  <c r="K7" i="46"/>
  <c r="K4" i="46"/>
  <c r="K11" i="46"/>
  <c r="K16" i="46"/>
  <c r="G10" i="46"/>
  <c r="G2" i="46"/>
  <c r="G9" i="46"/>
  <c r="G7" i="46"/>
  <c r="AE6" i="46"/>
  <c r="AE13" i="46"/>
  <c r="AE16" i="46"/>
  <c r="AE2" i="46"/>
  <c r="AE10" i="46"/>
  <c r="AE5" i="46"/>
  <c r="AA6" i="46"/>
  <c r="AA16" i="46"/>
  <c r="AA10" i="46"/>
  <c r="AA5" i="46"/>
  <c r="AA13" i="46"/>
  <c r="W5" i="46"/>
  <c r="W9" i="46"/>
  <c r="W6" i="46"/>
  <c r="W3" i="46"/>
  <c r="W13" i="46"/>
  <c r="S2" i="46"/>
  <c r="S9" i="46"/>
  <c r="S16" i="46"/>
  <c r="S3" i="46"/>
  <c r="O16" i="46"/>
  <c r="O2" i="46"/>
  <c r="O13" i="46"/>
  <c r="K2" i="46"/>
  <c r="K10" i="46"/>
  <c r="K13" i="46"/>
  <c r="K3" i="46"/>
  <c r="K9" i="46"/>
  <c r="K5" i="46"/>
  <c r="G6" i="46"/>
  <c r="G5" i="46"/>
  <c r="G16" i="46"/>
  <c r="K4" i="1"/>
  <c r="O4" i="1"/>
  <c r="V18" i="52" l="1"/>
  <c r="Z27" i="52" s="1"/>
  <c r="AB27" i="52" s="1"/>
  <c r="V17" i="52"/>
  <c r="V5" i="52"/>
  <c r="V16" i="52"/>
  <c r="Z25" i="52" s="1"/>
  <c r="V15" i="52"/>
  <c r="Z24" i="52" s="1"/>
  <c r="V13" i="52"/>
  <c r="Z22" i="52" s="1"/>
  <c r="V9" i="52"/>
  <c r="Z18" i="52" s="1"/>
  <c r="V14" i="52"/>
  <c r="Z23" i="52" s="1"/>
  <c r="V7" i="52"/>
  <c r="Z16" i="52" s="1"/>
  <c r="V8" i="52"/>
  <c r="Z17" i="52" s="1"/>
  <c r="V11" i="52"/>
  <c r="Z20" i="52" s="1"/>
  <c r="V12" i="52"/>
  <c r="Z21" i="52" s="1"/>
  <c r="V6" i="52"/>
  <c r="Z15" i="52" s="1"/>
  <c r="V10" i="52"/>
  <c r="Z19" i="52" s="1"/>
  <c r="O56" i="45"/>
  <c r="W76" i="45"/>
  <c r="O76" i="45"/>
  <c r="K51" i="45"/>
  <c r="K56" i="45"/>
  <c r="K60" i="45"/>
  <c r="S76" i="45"/>
  <c r="S56" i="45"/>
  <c r="G60" i="45"/>
  <c r="W51" i="45"/>
  <c r="G56" i="45"/>
  <c r="K76" i="45"/>
  <c r="S51" i="45"/>
  <c r="W56" i="45"/>
  <c r="S60" i="45"/>
  <c r="G51" i="45"/>
  <c r="O60" i="45"/>
  <c r="O51" i="45"/>
  <c r="G76" i="45"/>
  <c r="W60" i="45"/>
  <c r="G11" i="43"/>
  <c r="W6" i="43"/>
  <c r="G6" i="43"/>
  <c r="O6" i="43"/>
  <c r="O11" i="43"/>
  <c r="S6" i="43"/>
  <c r="W11" i="43"/>
  <c r="K6" i="43"/>
  <c r="K11" i="43"/>
  <c r="K20" i="41"/>
  <c r="AA20" i="41"/>
  <c r="S20" i="41"/>
  <c r="O20" i="41"/>
  <c r="W20" i="41"/>
  <c r="G12" i="45"/>
  <c r="G17" i="45"/>
  <c r="S12" i="45"/>
  <c r="S17" i="45"/>
  <c r="W12" i="45"/>
  <c r="W17" i="45"/>
  <c r="O17" i="45"/>
  <c r="O12" i="45"/>
  <c r="K12" i="45"/>
  <c r="K17" i="45"/>
  <c r="G3" i="44"/>
  <c r="G4" i="44"/>
  <c r="G37" i="44"/>
  <c r="G7" i="44"/>
  <c r="K3" i="44"/>
  <c r="K4" i="44"/>
  <c r="K7" i="44"/>
  <c r="K37" i="44"/>
  <c r="O7" i="44"/>
  <c r="O37" i="44"/>
  <c r="O4" i="44"/>
  <c r="O3" i="44"/>
  <c r="S7" i="44"/>
  <c r="S3" i="44"/>
  <c r="S4" i="44"/>
  <c r="S37" i="44"/>
  <c r="W7" i="44"/>
  <c r="W3" i="44"/>
  <c r="W4" i="44"/>
  <c r="W37" i="44"/>
  <c r="W4" i="43"/>
  <c r="W9" i="43"/>
  <c r="K4" i="43"/>
  <c r="K9" i="43"/>
  <c r="S4" i="43"/>
  <c r="S9" i="43"/>
  <c r="G4" i="43"/>
  <c r="G9" i="43"/>
  <c r="O9" i="43"/>
  <c r="O4" i="43"/>
  <c r="K2" i="21"/>
  <c r="S2" i="21"/>
  <c r="O2" i="21"/>
  <c r="G2" i="21"/>
  <c r="W2" i="21"/>
  <c r="W17" i="41"/>
  <c r="AA17" i="41"/>
  <c r="K17" i="41"/>
  <c r="O17" i="41"/>
  <c r="S17" i="41"/>
  <c r="AA4" i="40"/>
  <c r="AA14" i="40"/>
  <c r="AA10" i="40"/>
  <c r="W10" i="40"/>
  <c r="W4" i="40"/>
  <c r="W14" i="40"/>
  <c r="K4" i="40"/>
  <c r="K10" i="40"/>
  <c r="K14" i="40"/>
  <c r="AE10" i="40"/>
  <c r="AE14" i="40"/>
  <c r="AE4" i="40"/>
  <c r="O10" i="40"/>
  <c r="O14" i="40"/>
  <c r="O4" i="40"/>
  <c r="S10" i="40"/>
  <c r="S4" i="40"/>
  <c r="S14" i="40"/>
  <c r="G4" i="40"/>
  <c r="G10" i="40"/>
  <c r="G14" i="40"/>
  <c r="AE5" i="1"/>
  <c r="AE4" i="1"/>
  <c r="AE6" i="1"/>
  <c r="AA3" i="1"/>
  <c r="AA6" i="1"/>
  <c r="AA4" i="1"/>
  <c r="AA2" i="1"/>
  <c r="AA5" i="1"/>
  <c r="W5" i="1"/>
  <c r="W4" i="1"/>
  <c r="W2" i="1"/>
  <c r="W6" i="1"/>
  <c r="S5" i="1"/>
  <c r="S4" i="1"/>
  <c r="S6" i="1"/>
  <c r="K5" i="1"/>
  <c r="K6" i="1"/>
  <c r="K2" i="1"/>
  <c r="O5" i="1"/>
  <c r="O6" i="1"/>
  <c r="G4" i="1"/>
  <c r="G5" i="1"/>
  <c r="G6" i="1"/>
  <c r="G2" i="45"/>
  <c r="S68" i="45"/>
  <c r="G4" i="45"/>
  <c r="O68" i="45"/>
  <c r="S70" i="45"/>
  <c r="S2" i="45"/>
  <c r="O23" i="45"/>
  <c r="G68" i="45"/>
  <c r="W70" i="45"/>
  <c r="O22" i="45"/>
  <c r="W22" i="45"/>
  <c r="S22" i="45"/>
  <c r="K70" i="45"/>
  <c r="O4" i="45"/>
  <c r="K23" i="45"/>
  <c r="W4" i="45"/>
  <c r="S4" i="45"/>
  <c r="K2" i="45"/>
  <c r="K68" i="45"/>
  <c r="G70" i="45"/>
  <c r="O2" i="45"/>
  <c r="G23" i="45"/>
  <c r="W23" i="45"/>
  <c r="S23" i="45"/>
  <c r="W2" i="45"/>
  <c r="W68" i="45"/>
  <c r="K22" i="45"/>
  <c r="K4" i="45"/>
  <c r="G22" i="45"/>
  <c r="O70" i="45"/>
  <c r="W52" i="45"/>
  <c r="W59" i="45"/>
  <c r="W32" i="45"/>
  <c r="G9" i="44"/>
  <c r="W16" i="44"/>
  <c r="G16" i="44"/>
  <c r="S16" i="44"/>
  <c r="K16" i="44"/>
  <c r="O16" i="44"/>
  <c r="S9" i="44"/>
  <c r="O9" i="44"/>
  <c r="W9" i="44"/>
  <c r="K9" i="44"/>
  <c r="O5" i="43"/>
  <c r="O19" i="43"/>
  <c r="W7" i="43"/>
  <c r="S7" i="43"/>
  <c r="O7" i="43"/>
  <c r="K19" i="43"/>
  <c r="G5" i="43"/>
  <c r="G7" i="43"/>
  <c r="W19" i="43"/>
  <c r="W5" i="43"/>
  <c r="K7" i="43"/>
  <c r="S19" i="43"/>
  <c r="G19" i="43"/>
  <c r="K5" i="43"/>
  <c r="W3" i="43"/>
  <c r="W12" i="43"/>
  <c r="W4" i="21"/>
  <c r="K21" i="41"/>
  <c r="O6" i="41"/>
  <c r="S6" i="41"/>
  <c r="O9" i="41"/>
  <c r="S19" i="41"/>
  <c r="O21" i="41"/>
  <c r="AA9" i="41"/>
  <c r="AA21" i="41"/>
  <c r="W6" i="41"/>
  <c r="W19" i="41"/>
  <c r="AA6" i="41"/>
  <c r="W9" i="41"/>
  <c r="K6" i="41"/>
  <c r="K9" i="41"/>
  <c r="O19" i="41"/>
  <c r="S9" i="41"/>
  <c r="S21" i="41"/>
  <c r="AA19" i="41"/>
  <c r="W21" i="41"/>
  <c r="K19" i="41"/>
  <c r="O2" i="40"/>
  <c r="S2" i="40"/>
  <c r="K13" i="40"/>
  <c r="AE13" i="40"/>
  <c r="O13" i="40"/>
  <c r="AE2" i="40"/>
  <c r="AA13" i="40"/>
  <c r="AA2" i="40"/>
  <c r="K2" i="40"/>
  <c r="W13" i="40"/>
  <c r="G13" i="40"/>
  <c r="S13" i="40"/>
  <c r="W2" i="40"/>
  <c r="G2" i="40"/>
  <c r="W25" i="45"/>
  <c r="W28" i="45"/>
  <c r="W15" i="45"/>
  <c r="W6" i="45"/>
  <c r="W71" i="45"/>
  <c r="W75" i="45"/>
  <c r="W10" i="45"/>
  <c r="W31" i="45"/>
  <c r="W36" i="45"/>
  <c r="W48" i="45"/>
  <c r="W21" i="45"/>
  <c r="W7" i="45"/>
  <c r="W19" i="45"/>
  <c r="W74" i="45"/>
  <c r="W20" i="45"/>
  <c r="W47" i="45"/>
  <c r="W13" i="45"/>
  <c r="W3" i="45"/>
  <c r="W9" i="45"/>
  <c r="W43" i="45"/>
  <c r="W14" i="45"/>
  <c r="W72" i="45"/>
  <c r="W50" i="45"/>
  <c r="W61" i="45"/>
  <c r="W24" i="45"/>
  <c r="W11" i="45"/>
  <c r="W5" i="45"/>
  <c r="W8" i="45"/>
  <c r="W69" i="45"/>
  <c r="W37" i="45"/>
  <c r="W16" i="45"/>
  <c r="S19" i="45"/>
  <c r="S69" i="45"/>
  <c r="S37" i="45"/>
  <c r="S16" i="45"/>
  <c r="S8" i="45"/>
  <c r="S25" i="45"/>
  <c r="S28" i="45"/>
  <c r="S15" i="45"/>
  <c r="S31" i="45"/>
  <c r="S6" i="45"/>
  <c r="S71" i="45"/>
  <c r="S75" i="45"/>
  <c r="S10" i="45"/>
  <c r="S36" i="45"/>
  <c r="S48" i="45"/>
  <c r="S21" i="45"/>
  <c r="S7" i="45"/>
  <c r="S74" i="45"/>
  <c r="S20" i="45"/>
  <c r="S47" i="45"/>
  <c r="S13" i="45"/>
  <c r="S3" i="45"/>
  <c r="S9" i="45"/>
  <c r="S43" i="45"/>
  <c r="S52" i="45"/>
  <c r="S59" i="45"/>
  <c r="S32" i="45"/>
  <c r="S14" i="45"/>
  <c r="S72" i="45"/>
  <c r="S50" i="45"/>
  <c r="S61" i="45"/>
  <c r="S24" i="45"/>
  <c r="S11" i="45"/>
  <c r="S5" i="45"/>
  <c r="O43" i="45"/>
  <c r="O16" i="45"/>
  <c r="O69" i="45"/>
  <c r="O24" i="45"/>
  <c r="O11" i="45"/>
  <c r="O5" i="45"/>
  <c r="O8" i="45"/>
  <c r="O25" i="45"/>
  <c r="O28" i="45"/>
  <c r="O15" i="45"/>
  <c r="O47" i="45"/>
  <c r="O6" i="45"/>
  <c r="O71" i="45"/>
  <c r="O75" i="45"/>
  <c r="O10" i="45"/>
  <c r="O31" i="45"/>
  <c r="O36" i="45"/>
  <c r="O48" i="45"/>
  <c r="O21" i="45"/>
  <c r="O7" i="45"/>
  <c r="O19" i="45"/>
  <c r="O37" i="45"/>
  <c r="O18" i="45"/>
  <c r="O74" i="45"/>
  <c r="O20" i="45"/>
  <c r="O13" i="45"/>
  <c r="O3" i="45"/>
  <c r="O9" i="45"/>
  <c r="O52" i="45"/>
  <c r="O59" i="45"/>
  <c r="O32" i="45"/>
  <c r="O14" i="45"/>
  <c r="O72" i="45"/>
  <c r="O50" i="45"/>
  <c r="O61" i="45"/>
  <c r="K31" i="45"/>
  <c r="K75" i="45"/>
  <c r="K28" i="45"/>
  <c r="K10" i="45"/>
  <c r="K14" i="45"/>
  <c r="K72" i="45"/>
  <c r="K50" i="45"/>
  <c r="K61" i="45"/>
  <c r="K71" i="45"/>
  <c r="K24" i="45"/>
  <c r="K11" i="45"/>
  <c r="K5" i="45"/>
  <c r="K8" i="45"/>
  <c r="K69" i="45"/>
  <c r="K37" i="45"/>
  <c r="K16" i="45"/>
  <c r="K25" i="45"/>
  <c r="G31" i="45"/>
  <c r="K18" i="45"/>
  <c r="K36" i="45"/>
  <c r="K48" i="45"/>
  <c r="K21" i="45"/>
  <c r="K7" i="45"/>
  <c r="K19" i="45"/>
  <c r="K74" i="45"/>
  <c r="K20" i="45"/>
  <c r="K47" i="45"/>
  <c r="K13" i="45"/>
  <c r="K3" i="45"/>
  <c r="K9" i="45"/>
  <c r="K43" i="45"/>
  <c r="K15" i="45"/>
  <c r="K6" i="45"/>
  <c r="K52" i="45"/>
  <c r="K59" i="45"/>
  <c r="K32" i="45"/>
  <c r="G3" i="45"/>
  <c r="G13" i="45"/>
  <c r="G52" i="45"/>
  <c r="G59" i="45"/>
  <c r="G32" i="45"/>
  <c r="G74" i="45"/>
  <c r="G75" i="45"/>
  <c r="G14" i="45"/>
  <c r="G72" i="45"/>
  <c r="G50" i="45"/>
  <c r="G61" i="45"/>
  <c r="G6" i="45"/>
  <c r="G24" i="45"/>
  <c r="G11" i="45"/>
  <c r="G5" i="45"/>
  <c r="G8" i="45"/>
  <c r="G20" i="45"/>
  <c r="G10" i="45"/>
  <c r="G69" i="45"/>
  <c r="G37" i="45"/>
  <c r="G16" i="45"/>
  <c r="G28" i="45"/>
  <c r="G15" i="45"/>
  <c r="G71" i="45"/>
  <c r="G18" i="45"/>
  <c r="G25" i="45"/>
  <c r="G47" i="45"/>
  <c r="G43" i="45"/>
  <c r="G36" i="45"/>
  <c r="G48" i="45"/>
  <c r="G21" i="45"/>
  <c r="G7" i="45"/>
  <c r="G19" i="45"/>
  <c r="G9" i="45"/>
  <c r="W56" i="44"/>
  <c r="W12" i="44"/>
  <c r="W6" i="44"/>
  <c r="S5" i="44"/>
  <c r="W27" i="44"/>
  <c r="W5" i="44"/>
  <c r="W2" i="44"/>
  <c r="W13" i="44"/>
  <c r="W8" i="44"/>
  <c r="W10" i="44"/>
  <c r="W15" i="44"/>
  <c r="W43" i="44"/>
  <c r="W53" i="44"/>
  <c r="W18" i="44"/>
  <c r="W23" i="44"/>
  <c r="W11" i="44"/>
  <c r="W39" i="44"/>
  <c r="W31" i="44"/>
  <c r="W33" i="44"/>
  <c r="W14" i="44"/>
  <c r="W48" i="44"/>
  <c r="W34" i="44"/>
  <c r="W52" i="44"/>
  <c r="W29" i="44"/>
  <c r="W17" i="44"/>
  <c r="S17" i="44"/>
  <c r="S13" i="44"/>
  <c r="S29" i="44"/>
  <c r="S56" i="44"/>
  <c r="S33" i="44"/>
  <c r="S18" i="44"/>
  <c r="S8" i="44"/>
  <c r="S2" i="44"/>
  <c r="S10" i="44"/>
  <c r="S12" i="44"/>
  <c r="S23" i="44"/>
  <c r="S15" i="44"/>
  <c r="S14" i="44"/>
  <c r="S31" i="44"/>
  <c r="S52" i="44"/>
  <c r="S43" i="44"/>
  <c r="S6" i="44"/>
  <c r="S11" i="44"/>
  <c r="S39" i="44"/>
  <c r="S27" i="44"/>
  <c r="S53" i="44"/>
  <c r="S48" i="44"/>
  <c r="O10" i="44"/>
  <c r="O12" i="44"/>
  <c r="O23" i="44"/>
  <c r="O15" i="44"/>
  <c r="O14" i="44"/>
  <c r="O43" i="44"/>
  <c r="O6" i="44"/>
  <c r="O27" i="44"/>
  <c r="O53" i="44"/>
  <c r="O48" i="44"/>
  <c r="O5" i="44"/>
  <c r="O39" i="44"/>
  <c r="O52" i="44"/>
  <c r="O29" i="44"/>
  <c r="O17" i="44"/>
  <c r="O31" i="44"/>
  <c r="O2" i="44"/>
  <c r="O13" i="44"/>
  <c r="O11" i="44"/>
  <c r="O56" i="44"/>
  <c r="O33" i="44"/>
  <c r="O18" i="44"/>
  <c r="O8" i="44"/>
  <c r="K14" i="44"/>
  <c r="K2" i="44"/>
  <c r="K8" i="44"/>
  <c r="K53" i="44"/>
  <c r="K23" i="44"/>
  <c r="K6" i="44"/>
  <c r="K5" i="44"/>
  <c r="K52" i="44"/>
  <c r="K29" i="44"/>
  <c r="K17" i="44"/>
  <c r="K13" i="44"/>
  <c r="K10" i="44"/>
  <c r="K33" i="44"/>
  <c r="K12" i="44"/>
  <c r="K27" i="44"/>
  <c r="K48" i="44"/>
  <c r="K56" i="44"/>
  <c r="K15" i="44"/>
  <c r="K11" i="44"/>
  <c r="K18" i="44"/>
  <c r="K43" i="44"/>
  <c r="K39" i="44"/>
  <c r="K31" i="44"/>
  <c r="G43" i="44"/>
  <c r="G6" i="44"/>
  <c r="G12" i="44"/>
  <c r="G27" i="44"/>
  <c r="G53" i="44"/>
  <c r="G48" i="44"/>
  <c r="G5" i="44"/>
  <c r="G11" i="44"/>
  <c r="G39" i="44"/>
  <c r="G31" i="44"/>
  <c r="G13" i="44"/>
  <c r="G52" i="44"/>
  <c r="G56" i="44"/>
  <c r="G33" i="44"/>
  <c r="G18" i="44"/>
  <c r="G8" i="44"/>
  <c r="G17" i="44"/>
  <c r="G10" i="44"/>
  <c r="G23" i="44"/>
  <c r="G15" i="44"/>
  <c r="G14" i="44"/>
  <c r="G29" i="44"/>
  <c r="G2" i="44"/>
  <c r="W22" i="43"/>
  <c r="W10" i="43"/>
  <c r="W8" i="43"/>
  <c r="W24" i="43"/>
  <c r="W25" i="43"/>
  <c r="W2" i="43"/>
  <c r="W27" i="43"/>
  <c r="S8" i="43"/>
  <c r="S24" i="43"/>
  <c r="S10" i="43"/>
  <c r="S2" i="43"/>
  <c r="S22" i="43"/>
  <c r="S25" i="43"/>
  <c r="S27" i="43"/>
  <c r="S3" i="43"/>
  <c r="O10" i="43"/>
  <c r="O27" i="43"/>
  <c r="O8" i="43"/>
  <c r="O12" i="43"/>
  <c r="O2" i="43"/>
  <c r="O25" i="43"/>
  <c r="O22" i="43"/>
  <c r="O24" i="43"/>
  <c r="O3" i="43"/>
  <c r="K24" i="43"/>
  <c r="K10" i="43"/>
  <c r="K2" i="43"/>
  <c r="K8" i="43"/>
  <c r="K22" i="43"/>
  <c r="K27" i="43"/>
  <c r="K25" i="43"/>
  <c r="K12" i="43"/>
  <c r="K3" i="43"/>
  <c r="G8" i="43"/>
  <c r="G27" i="43"/>
  <c r="G3" i="43"/>
  <c r="G10" i="43"/>
  <c r="G2" i="43"/>
  <c r="G24" i="43"/>
  <c r="G25" i="43"/>
  <c r="G12" i="43"/>
  <c r="G22" i="43"/>
  <c r="S4" i="21"/>
  <c r="O4" i="21"/>
  <c r="K4" i="21"/>
  <c r="G4" i="21"/>
  <c r="AA14" i="41"/>
  <c r="AA7" i="41"/>
  <c r="AA18" i="41"/>
  <c r="AA16" i="41"/>
  <c r="AA3" i="41"/>
  <c r="AA15" i="41"/>
  <c r="AA11" i="41"/>
  <c r="W7" i="41"/>
  <c r="W18" i="41"/>
  <c r="W16" i="41"/>
  <c r="W3" i="41"/>
  <c r="W15" i="41"/>
  <c r="W14" i="41"/>
  <c r="W11" i="41"/>
  <c r="S7" i="41"/>
  <c r="O7" i="41"/>
  <c r="S18" i="41"/>
  <c r="S14" i="41"/>
  <c r="S3" i="41"/>
  <c r="S16" i="41"/>
  <c r="S15" i="41"/>
  <c r="S11" i="41"/>
  <c r="O18" i="41"/>
  <c r="O16" i="41"/>
  <c r="O14" i="41"/>
  <c r="O3" i="41"/>
  <c r="O15" i="41"/>
  <c r="O11" i="41"/>
  <c r="K14" i="41"/>
  <c r="K7" i="41"/>
  <c r="K12" i="41"/>
  <c r="K18" i="41"/>
  <c r="K16" i="41"/>
  <c r="K3" i="41"/>
  <c r="K15" i="41"/>
  <c r="K11" i="41"/>
  <c r="AE3" i="40"/>
  <c r="AE6" i="40"/>
  <c r="AA6" i="40"/>
  <c r="AA3" i="40"/>
  <c r="W6" i="40"/>
  <c r="W3" i="40"/>
  <c r="S3" i="40"/>
  <c r="S6" i="40"/>
  <c r="O6" i="40"/>
  <c r="O3" i="40"/>
  <c r="K6" i="40"/>
  <c r="G6" i="40"/>
  <c r="G3" i="40"/>
  <c r="K3" i="40"/>
  <c r="S18" i="45"/>
  <c r="W18" i="45"/>
  <c r="S34" i="44"/>
  <c r="G34" i="44"/>
  <c r="K34" i="44"/>
  <c r="O34" i="44"/>
  <c r="K13" i="43"/>
  <c r="O13" i="43"/>
  <c r="S13" i="43"/>
  <c r="G13" i="43"/>
  <c r="W13" i="43"/>
  <c r="W3" i="21"/>
  <c r="W7" i="21"/>
  <c r="O13" i="41"/>
  <c r="S8" i="41"/>
  <c r="AA8" i="41"/>
  <c r="W8" i="41"/>
  <c r="W12" i="41"/>
  <c r="AA12" i="41"/>
  <c r="S12" i="41"/>
  <c r="AA13" i="41"/>
  <c r="O12" i="41"/>
  <c r="W13" i="41"/>
  <c r="K8" i="41"/>
  <c r="S13" i="41"/>
  <c r="K13" i="41"/>
  <c r="O8" i="41"/>
  <c r="AE5" i="40"/>
  <c r="K12" i="40"/>
  <c r="G12" i="40"/>
  <c r="O12" i="40"/>
  <c r="S5" i="40"/>
  <c r="W12" i="40"/>
  <c r="O5" i="40"/>
  <c r="W5" i="40"/>
  <c r="AA12" i="40"/>
  <c r="G5" i="40"/>
  <c r="K5" i="40"/>
  <c r="S12" i="40"/>
  <c r="AA5" i="40"/>
  <c r="AE12" i="40"/>
  <c r="O7" i="21"/>
  <c r="S7" i="21"/>
  <c r="S3" i="21"/>
  <c r="G7" i="21"/>
  <c r="O3" i="21"/>
  <c r="K3" i="21"/>
  <c r="K7" i="21"/>
  <c r="G3" i="21"/>
  <c r="AE2" i="1"/>
  <c r="AE3" i="1"/>
  <c r="AE7" i="1"/>
  <c r="AA7" i="1"/>
  <c r="W3" i="1"/>
  <c r="W7" i="1"/>
  <c r="S2" i="1"/>
  <c r="S3" i="1"/>
  <c r="S7" i="1"/>
  <c r="O3" i="1"/>
  <c r="O2" i="1"/>
  <c r="O7" i="1"/>
  <c r="K3" i="1"/>
  <c r="K7" i="1"/>
  <c r="G3" i="1"/>
  <c r="G2" i="1"/>
  <c r="G7" i="1"/>
  <c r="W5" i="52" l="1"/>
  <c r="W17" i="52"/>
  <c r="W20" i="52"/>
  <c r="W19" i="52"/>
  <c r="W18" i="52"/>
  <c r="Z26" i="52"/>
  <c r="Z14" i="52"/>
  <c r="W6" i="52"/>
  <c r="W10" i="52"/>
  <c r="W8" i="52"/>
  <c r="W13" i="52"/>
  <c r="W7" i="52"/>
  <c r="W15" i="52"/>
  <c r="W12" i="52"/>
  <c r="W14" i="52"/>
  <c r="W16" i="52"/>
  <c r="W11" i="52"/>
  <c r="W9" i="52"/>
  <c r="AB26" i="52" l="1"/>
  <c r="AB20" i="52"/>
  <c r="AB19" i="52"/>
  <c r="AB24" i="52"/>
  <c r="AB22" i="52"/>
  <c r="AB18" i="52"/>
  <c r="AB23" i="52"/>
  <c r="AB16" i="52"/>
  <c r="AB21" i="52"/>
  <c r="AB14" i="52"/>
  <c r="AB15" i="52"/>
  <c r="AB17" i="52"/>
  <c r="AB25" i="52"/>
  <c r="AC29" i="52" l="1"/>
  <c r="AC28" i="52"/>
  <c r="AC27" i="52"/>
  <c r="AC26" i="52"/>
  <c r="AC24" i="52"/>
  <c r="AC25" i="52"/>
  <c r="AC23" i="52"/>
  <c r="AC22" i="52"/>
  <c r="AC16" i="52"/>
  <c r="AC21" i="52"/>
  <c r="AC19" i="52"/>
  <c r="AC20" i="52"/>
  <c r="AC18" i="52"/>
  <c r="AC17" i="52"/>
  <c r="AC15" i="52"/>
  <c r="AC14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<sst xmlns="http://schemas.openxmlformats.org/spreadsheetml/2006/main" count="1374" uniqueCount="335">
  <si>
    <t>Name</t>
  </si>
  <si>
    <t>FX Comp 1</t>
  </si>
  <si>
    <t>FX Comp 2</t>
  </si>
  <si>
    <t>FX League Total</t>
  </si>
  <si>
    <t xml:space="preserve">Ranking </t>
  </si>
  <si>
    <t>PH Comp 1</t>
  </si>
  <si>
    <t>PH Comp 2</t>
  </si>
  <si>
    <t>PH  League Total</t>
  </si>
  <si>
    <t>SR Comp 1</t>
  </si>
  <si>
    <t>SR Comp 2</t>
  </si>
  <si>
    <t>SR League Total</t>
  </si>
  <si>
    <t>Ranking</t>
  </si>
  <si>
    <t>VT Comp 1</t>
  </si>
  <si>
    <t>VT Comp 2</t>
  </si>
  <si>
    <t>VT League Total</t>
  </si>
  <si>
    <t>PB Comp 1</t>
  </si>
  <si>
    <t>PB Comp 2</t>
  </si>
  <si>
    <t>PB League Total</t>
  </si>
  <si>
    <t>HB Comp 1</t>
  </si>
  <si>
    <t>HB Comp 2</t>
  </si>
  <si>
    <t>HB League Total</t>
  </si>
  <si>
    <t>AA Comp 1</t>
  </si>
  <si>
    <t>AA Comp 2</t>
  </si>
  <si>
    <t>AA League Total</t>
  </si>
  <si>
    <t>BB Comp 1</t>
  </si>
  <si>
    <t>BB Comp 2</t>
  </si>
  <si>
    <t>BB League Total</t>
  </si>
  <si>
    <t>UB Comp 1</t>
  </si>
  <si>
    <t>UB Comp 2</t>
  </si>
  <si>
    <t>UB League Total</t>
  </si>
  <si>
    <t>Ranking 2</t>
  </si>
  <si>
    <t>Ranking 3</t>
  </si>
  <si>
    <t>Ranking4</t>
  </si>
  <si>
    <t>Ranking 5</t>
  </si>
  <si>
    <t>Ranking6</t>
  </si>
  <si>
    <t>Ranking5</t>
  </si>
  <si>
    <t>FX Ranking</t>
  </si>
  <si>
    <t>BB Ranking</t>
  </si>
  <si>
    <t>UB Ranking</t>
  </si>
  <si>
    <t>VT Ranking</t>
  </si>
  <si>
    <t>Number</t>
  </si>
  <si>
    <t/>
  </si>
  <si>
    <t>Loughborough University</t>
  </si>
  <si>
    <t>University of Manchester</t>
  </si>
  <si>
    <t>Filip Poczatek</t>
  </si>
  <si>
    <t>William Calder</t>
  </si>
  <si>
    <t>Jacob Ryan</t>
  </si>
  <si>
    <t>Ewan Mcilraith</t>
  </si>
  <si>
    <t>Blake Eldridge</t>
  </si>
  <si>
    <t>Ben Julian</t>
  </si>
  <si>
    <t>University of Lincoln</t>
  </si>
  <si>
    <t>University of Leeds</t>
  </si>
  <si>
    <t>University of Sheffield</t>
  </si>
  <si>
    <t>University of Nottingham</t>
  </si>
  <si>
    <t>Lucas Ramirez-Capes</t>
  </si>
  <si>
    <t>Harvey Unthank</t>
  </si>
  <si>
    <t>Koby Walters</t>
  </si>
  <si>
    <t>Hugh Hutchinson</t>
  </si>
  <si>
    <t>Alex Zervos</t>
  </si>
  <si>
    <t>Joe Dodson</t>
  </si>
  <si>
    <t>James Chan</t>
  </si>
  <si>
    <t>Jack Sumpter</t>
  </si>
  <si>
    <t xml:space="preserve">Danail Barakov-Trankov </t>
  </si>
  <si>
    <t>Leeds Beckett University</t>
  </si>
  <si>
    <t>Sheffield Hallam University</t>
  </si>
  <si>
    <t>University of York</t>
  </si>
  <si>
    <t>Thomas March</t>
  </si>
  <si>
    <t>Joe Reynolds</t>
  </si>
  <si>
    <t>Xavier Caine</t>
  </si>
  <si>
    <t>Benjamin Stout</t>
  </si>
  <si>
    <t>Dan Jones</t>
  </si>
  <si>
    <t>Joeseph Gunning-Thompson</t>
  </si>
  <si>
    <t>Samuel Moorhouse</t>
  </si>
  <si>
    <t>Jake Robinson</t>
  </si>
  <si>
    <t>Benito Golia-Foxely</t>
  </si>
  <si>
    <t>James Odonnell</t>
  </si>
  <si>
    <t>Tanvir Radhoa</t>
  </si>
  <si>
    <t>James Rowe</t>
  </si>
  <si>
    <t>University of Edinburgh</t>
  </si>
  <si>
    <t>University of Liverpool</t>
  </si>
  <si>
    <t>Matthew MacIntosh</t>
  </si>
  <si>
    <t>Gabriel Szatan</t>
  </si>
  <si>
    <t>Nathan McClelland</t>
  </si>
  <si>
    <t>Oli Tickner-Bellau</t>
  </si>
  <si>
    <t>Danylo Sheiko</t>
  </si>
  <si>
    <t>Ibraheem Reza</t>
  </si>
  <si>
    <t>Sean Williamson</t>
  </si>
  <si>
    <t>Rayhan Amer Imran</t>
  </si>
  <si>
    <t>Jonah Twelftree</t>
  </si>
  <si>
    <t>Quintin Kemish</t>
  </si>
  <si>
    <t>Jamie Berry</t>
  </si>
  <si>
    <t>Aidan Obambi</t>
  </si>
  <si>
    <t>Dominic Forshaw</t>
  </si>
  <si>
    <t>Alfie Barker</t>
  </si>
  <si>
    <t>Andrew Anderson</t>
  </si>
  <si>
    <t>Cody Aspden</t>
  </si>
  <si>
    <t>Nathan Reynolds</t>
  </si>
  <si>
    <t>James Elles-Arnison</t>
  </si>
  <si>
    <t>Nathan Jones</t>
  </si>
  <si>
    <t>Aaron Walker</t>
  </si>
  <si>
    <t>Amelia Hughes</t>
  </si>
  <si>
    <t>Ella Rollings</t>
  </si>
  <si>
    <t>Lily Baker</t>
  </si>
  <si>
    <t>Durham University</t>
  </si>
  <si>
    <t>Mia Choules</t>
  </si>
  <si>
    <t>Kiera Hurst</t>
  </si>
  <si>
    <t>Adriana Housty</t>
  </si>
  <si>
    <t>Leona Ryan</t>
  </si>
  <si>
    <t>Sophie Munt</t>
  </si>
  <si>
    <t>Cordelia Ming</t>
  </si>
  <si>
    <t>Olivia Cartwright</t>
  </si>
  <si>
    <t>Charlotte Grant</t>
  </si>
  <si>
    <t>Scarlett Cherry</t>
  </si>
  <si>
    <t>Ella Wadley</t>
  </si>
  <si>
    <t>Niamh Hardy</t>
  </si>
  <si>
    <t>Victoria Corbett</t>
  </si>
  <si>
    <t>Grace Lin</t>
  </si>
  <si>
    <t>Ami Richardson</t>
  </si>
  <si>
    <t>Erin McCormack</t>
  </si>
  <si>
    <t>Ella Waldron</t>
  </si>
  <si>
    <t>Eimear Galvin</t>
  </si>
  <si>
    <t>Jasmine Thomas</t>
  </si>
  <si>
    <t>Laura Clemen</t>
  </si>
  <si>
    <t>Adama Jobe</t>
  </si>
  <si>
    <t>Katie Hall</t>
  </si>
  <si>
    <t>India Grace</t>
  </si>
  <si>
    <t>Emma May</t>
  </si>
  <si>
    <t>Jenna Sorrill</t>
  </si>
  <si>
    <t>Charlotte Wells</t>
  </si>
  <si>
    <t>Ruby Taylor</t>
  </si>
  <si>
    <t>Aneesha Nair</t>
  </si>
  <si>
    <t>Daniella Brown</t>
  </si>
  <si>
    <t>Rebecca Haskins</t>
  </si>
  <si>
    <t>Eleane Runnalls</t>
  </si>
  <si>
    <t>Hannah Boot</t>
  </si>
  <si>
    <t>Izzy Gwyther</t>
  </si>
  <si>
    <t>Amelie Matthews</t>
  </si>
  <si>
    <t>Sydney Kemish</t>
  </si>
  <si>
    <t>Emily Wall</t>
  </si>
  <si>
    <t>Nicole Latour</t>
  </si>
  <si>
    <t>Ellie Steeple</t>
  </si>
  <si>
    <t>Rebecca Topping</t>
  </si>
  <si>
    <t>Libby Gascoyne</t>
  </si>
  <si>
    <t>Louise Hirst</t>
  </si>
  <si>
    <t>Eloise Murphy</t>
  </si>
  <si>
    <t>Annie Wallace</t>
  </si>
  <si>
    <t>Aisling Hurley</t>
  </si>
  <si>
    <t>Millie Barnham</t>
  </si>
  <si>
    <t>Fearne Woolley</t>
  </si>
  <si>
    <t>Bethany Falconer</t>
  </si>
  <si>
    <t>Grace Williams</t>
  </si>
  <si>
    <t>Lucy Willis</t>
  </si>
  <si>
    <t>Alesha Sarfaz</t>
  </si>
  <si>
    <t>Charlotte Bainbridge</t>
  </si>
  <si>
    <t>Molly Wade</t>
  </si>
  <si>
    <t>Holly Trellis</t>
  </si>
  <si>
    <t>Tamara Stone</t>
  </si>
  <si>
    <t>Cerys Evans</t>
  </si>
  <si>
    <t>Lily Norbury</t>
  </si>
  <si>
    <t>Wing Sum Yip</t>
  </si>
  <si>
    <t>Leah Clarke</t>
  </si>
  <si>
    <t>Ella Hockridge-Ford</t>
  </si>
  <si>
    <t>Jessica Grizenkova</t>
  </si>
  <si>
    <t>Rosalind Walkley</t>
  </si>
  <si>
    <t>Eve Bennett</t>
  </si>
  <si>
    <t>Catherine Gibson</t>
  </si>
  <si>
    <t>Lily Parkin</t>
  </si>
  <si>
    <t>Ester Davidson</t>
  </si>
  <si>
    <t>Hannah Jones</t>
  </si>
  <si>
    <t>Megan Shaw</t>
  </si>
  <si>
    <t>Lola Rodriguez</t>
  </si>
  <si>
    <t>Cerys Matthews</t>
  </si>
  <si>
    <t>Isla Luxton-Brookes</t>
  </si>
  <si>
    <t>Amy Buckley</t>
  </si>
  <si>
    <t>Margareta von Samson Himmelstierna</t>
  </si>
  <si>
    <t>Beth Kirkham</t>
  </si>
  <si>
    <t>Emily Nuttall</t>
  </si>
  <si>
    <t>Annabelle Bridge</t>
  </si>
  <si>
    <t>Megan Price</t>
  </si>
  <si>
    <t>Frances Geldard</t>
  </si>
  <si>
    <t>Jasmine Wheatley</t>
  </si>
  <si>
    <t>Jessica Wilde</t>
  </si>
  <si>
    <t>Larissa Campbell</t>
  </si>
  <si>
    <t>Sarah Theobald</t>
  </si>
  <si>
    <t>Amelie Cutler</t>
  </si>
  <si>
    <t>Yasmine Alderson</t>
  </si>
  <si>
    <t>Aimee Ross</t>
  </si>
  <si>
    <t>Halle Cooke</t>
  </si>
  <si>
    <t>Yasmine Harvey</t>
  </si>
  <si>
    <t>Jessica Meredith</t>
  </si>
  <si>
    <t>Balla Given</t>
  </si>
  <si>
    <t>Lildh Campbell</t>
  </si>
  <si>
    <t>Nathan Cattan</t>
  </si>
  <si>
    <t>Alex Mulvey</t>
  </si>
  <si>
    <t>Imi Junge</t>
  </si>
  <si>
    <t>Mia Watson</t>
  </si>
  <si>
    <t>Lucy Allum</t>
  </si>
  <si>
    <t>Neve Wilkinson</t>
  </si>
  <si>
    <t>Mollie Hardwick</t>
  </si>
  <si>
    <t>Emma Ferrari</t>
  </si>
  <si>
    <t>Maisie Mawby</t>
  </si>
  <si>
    <t>Chloe Macek</t>
  </si>
  <si>
    <t>Hollie Farmer</t>
  </si>
  <si>
    <t>Millie Hughes</t>
  </si>
  <si>
    <t>Ashna Kantelia</t>
  </si>
  <si>
    <t>Amy Jones</t>
  </si>
  <si>
    <t>Sadie Shanley</t>
  </si>
  <si>
    <t>Chenai Drage</t>
  </si>
  <si>
    <t>Ellie Heard</t>
  </si>
  <si>
    <t>University / Institution</t>
  </si>
  <si>
    <t>North League Total</t>
  </si>
  <si>
    <t>University</t>
  </si>
  <si>
    <t>Score 1</t>
  </si>
  <si>
    <t>Score 2</t>
  </si>
  <si>
    <t>Score 3</t>
  </si>
  <si>
    <t>Score 4</t>
  </si>
  <si>
    <t>Position</t>
  </si>
  <si>
    <t>Column Labels</t>
  </si>
  <si>
    <t>Row Labels</t>
  </si>
  <si>
    <t>Sum of AA Comp 1</t>
  </si>
  <si>
    <t>Sum of AA Comp 2</t>
  </si>
  <si>
    <t>Score 5</t>
  </si>
  <si>
    <t>Score 6</t>
  </si>
  <si>
    <t>Score 7</t>
  </si>
  <si>
    <t>Score 8</t>
  </si>
  <si>
    <t>Score 9</t>
  </si>
  <si>
    <t>Score 10</t>
  </si>
  <si>
    <t>Score 11</t>
  </si>
  <si>
    <t>Comp 1 Total</t>
  </si>
  <si>
    <t>Comp 2 Total</t>
  </si>
  <si>
    <t>Ranking 6</t>
  </si>
  <si>
    <t>Dani Barakov-Trankov</t>
  </si>
  <si>
    <t>Adam Chaib</t>
  </si>
  <si>
    <t xml:space="preserve">Isaac Gooding </t>
  </si>
  <si>
    <t>William Johnson</t>
  </si>
  <si>
    <t>Northumbria University</t>
  </si>
  <si>
    <t>Bodi Butler</t>
  </si>
  <si>
    <t>Israel Jerome Tayo Olatunde</t>
  </si>
  <si>
    <t>Nottingham Trent University</t>
  </si>
  <si>
    <t>Nathanial Halls</t>
  </si>
  <si>
    <t>Ben Howell</t>
  </si>
  <si>
    <t>Joshua Jaquiery</t>
  </si>
  <si>
    <t>TJ Mutemererwa</t>
  </si>
  <si>
    <t>Joshua McDermott</t>
  </si>
  <si>
    <t>Lewis McCann</t>
  </si>
  <si>
    <t>Joe Curtis</t>
  </si>
  <si>
    <t>Quentin Botchway</t>
  </si>
  <si>
    <t>Keele University</t>
  </si>
  <si>
    <t>University of Leicester</t>
  </si>
  <si>
    <t>Ayesha Abdullahi</t>
  </si>
  <si>
    <t>Mia Koll</t>
  </si>
  <si>
    <t>Vinny Peries</t>
  </si>
  <si>
    <t>Abigail Trinder</t>
  </si>
  <si>
    <t>Aisha Samuel</t>
  </si>
  <si>
    <t>Amber Krepi</t>
  </si>
  <si>
    <t>Angela Moyo</t>
  </si>
  <si>
    <t>Ayekaba Esimi</t>
  </si>
  <si>
    <t>Bairavee Sivakanthan</t>
  </si>
  <si>
    <t>Bethany Cooper</t>
  </si>
  <si>
    <t>Caitlin Teagle</t>
  </si>
  <si>
    <t>Calese Reid</t>
  </si>
  <si>
    <t>Ebony Lound</t>
  </si>
  <si>
    <t>Faith Farmery</t>
  </si>
  <si>
    <t>Ferne Woolley</t>
  </si>
  <si>
    <t>Georgina Green</t>
  </si>
  <si>
    <t>Hannah Matthews</t>
  </si>
  <si>
    <t>Joelle Nkansah</t>
  </si>
  <si>
    <t>Madison Coburn</t>
  </si>
  <si>
    <t>Olivia Sigsworth</t>
  </si>
  <si>
    <t>Rebecca Humphreys</t>
  </si>
  <si>
    <t>Ruby Hicks</t>
  </si>
  <si>
    <t>Samara Pearson</t>
  </si>
  <si>
    <t>Shannon Murphy</t>
  </si>
  <si>
    <t>Sophie Ridd</t>
  </si>
  <si>
    <t>Tania Makumire</t>
  </si>
  <si>
    <t>Matthew Dawson</t>
  </si>
  <si>
    <t>Alexia Rogers</t>
  </si>
  <si>
    <t>Ella Anderton</t>
  </si>
  <si>
    <t>Louise Moore</t>
  </si>
  <si>
    <t>Beatrix Rock</t>
  </si>
  <si>
    <t>Ellie Burgess</t>
  </si>
  <si>
    <t>Emily Strong</t>
  </si>
  <si>
    <t>Ester Okotie-Eboh</t>
  </si>
  <si>
    <t>Lara Herridge-Lewer</t>
  </si>
  <si>
    <t>Joanna Snelling</t>
  </si>
  <si>
    <t>Leah Waughman</t>
  </si>
  <si>
    <t>Megan Carolan</t>
  </si>
  <si>
    <t xml:space="preserve">Millie Hughes </t>
  </si>
  <si>
    <t>Milly Ampofo-Anti</t>
  </si>
  <si>
    <t>Molly Hauton</t>
  </si>
  <si>
    <t>Nikola Miler</t>
  </si>
  <si>
    <t>Ritika Jain</t>
  </si>
  <si>
    <t>Rosie Ward</t>
  </si>
  <si>
    <t>Sinjita Vaslie</t>
  </si>
  <si>
    <t>SJ Deabrew-Abeyesinhe</t>
  </si>
  <si>
    <t>Sophie Wilkinson</t>
  </si>
  <si>
    <t>Tyler Lynn</t>
  </si>
  <si>
    <t>Halle Smith</t>
  </si>
  <si>
    <t>Holly Sayer</t>
  </si>
  <si>
    <t>Isla Blackaby</t>
  </si>
  <si>
    <t>Emily Burgess</t>
  </si>
  <si>
    <t>Izzie Goddard</t>
  </si>
  <si>
    <t>Robyn Garner</t>
  </si>
  <si>
    <t>Ruby Holland</t>
  </si>
  <si>
    <t>Ellie Mahoney</t>
  </si>
  <si>
    <t>Maddy McCulley</t>
  </si>
  <si>
    <t>Maren Van Elsaecker</t>
  </si>
  <si>
    <t>Mia Wilson</t>
  </si>
  <si>
    <t>Eleanor Dakin</t>
  </si>
  <si>
    <t>Niyah Bethune</t>
  </si>
  <si>
    <t>Lidia Grunwald</t>
  </si>
  <si>
    <t>Emilly Spicer-Gregory</t>
  </si>
  <si>
    <t>Mia Ammanath</t>
  </si>
  <si>
    <t>Naia Ashwell</t>
  </si>
  <si>
    <t>India Shally</t>
  </si>
  <si>
    <t>Magan Cappi</t>
  </si>
  <si>
    <t>Evie Willett</t>
  </si>
  <si>
    <t>Sophie Marson</t>
  </si>
  <si>
    <t>Ava Wood</t>
  </si>
  <si>
    <t>Lydia Starling</t>
  </si>
  <si>
    <t>Isobel Lee</t>
  </si>
  <si>
    <t>Edith Lindo</t>
  </si>
  <si>
    <t>Celina Seelinger</t>
  </si>
  <si>
    <t>Fran Mbewe</t>
  </si>
  <si>
    <t>Libby Smithirst</t>
  </si>
  <si>
    <t>Ewa Krzyzanowska</t>
  </si>
  <si>
    <t>Chloe Thompson</t>
  </si>
  <si>
    <t>Ella Well</t>
  </si>
  <si>
    <t>Heather Davenport</t>
  </si>
  <si>
    <t>Kirstey Achterberg</t>
  </si>
  <si>
    <t>Maddie Peacock</t>
  </si>
  <si>
    <t>Rachel Bate</t>
  </si>
  <si>
    <t>Rhianna Pyne</t>
  </si>
  <si>
    <t>Jess Burton</t>
  </si>
  <si>
    <t>Esme Lewis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</si>
</sst>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2"/>
      <name val="Calibri"/>
      <family val="2"/>
      <scheme val="minor"/>
    </font>
    <font>
      <sz val="12"/>
      <color theme="1"/>
      <name val="Helvetica"/>
      <family val="2"/>
    </font>
    <font>
      <sz val="12"/>
      <color theme="1"/>
      <name val="Calibri (Body)"/>
    </font>
    <font>
      <sz val="12"/>
      <color rgb="FF000000"/>
      <name val="Calibri"/>
      <family val="2"/>
      <scheme val="minor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textRotation="90"/>
    </xf>
    <xf numFmtId="0" fontId="2" fillId="2" borderId="0" xfId="0" applyFont="1" applyFill="1" applyAlignment="1">
      <alignment textRotation="90"/>
    </xf>
    <xf numFmtId="0" fontId="2" fillId="0" borderId="0" xfId="0" applyFont="1"/>
    <xf numFmtId="2" fontId="2" fillId="0" borderId="0" xfId="0" applyNumberFormat="1" applyFont="1"/>
    <xf numFmtId="0" fontId="2" fillId="2" borderId="0" xfId="0" applyFont="1" applyFill="1"/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 applyProtection="1">
      <alignment horizontal="left"/>
      <protection locked="0"/>
    </xf>
    <xf numFmtId="2" fontId="2" fillId="2" borderId="0" xfId="0" applyNumberFormat="1" applyFont="1" applyFill="1"/>
    <xf numFmtId="0" fontId="4" fillId="0" borderId="0" xfId="0" applyFont="1" applyAlignment="1" applyProtection="1">
      <alignment horizontal="fill"/>
      <protection locked="0"/>
    </xf>
    <xf numFmtId="0" fontId="5" fillId="0" borderId="0" xfId="0" applyFont="1"/>
    <xf numFmtId="0" fontId="0" fillId="0" borderId="0" xfId="0" applyAlignment="1">
      <alignment horizontal="fill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 textRotation="90"/>
      <protection locked="0"/>
    </xf>
    <xf numFmtId="2" fontId="0" fillId="0" borderId="0" xfId="0" applyNumberFormat="1"/>
    <xf numFmtId="0" fontId="0" fillId="0" borderId="0" xfId="0" pivotButton="1"/>
    <xf numFmtId="0" fontId="7" fillId="0" borderId="0" xfId="0" applyFont="1"/>
    <xf numFmtId="0" fontId="7" fillId="0" borderId="0" xfId="0" applyFont="1" applyAlignment="1">
      <alignment horizontal="fill"/>
    </xf>
    <xf numFmtId="0" fontId="8" fillId="0" borderId="0" xfId="0" applyFont="1"/>
    <xf numFmtId="0" fontId="0" fillId="0" borderId="0" xfId="0" applyAlignment="1" applyProtection="1">
      <alignment horizontal="center"/>
      <protection locked="0"/>
    </xf>
  </cellXfs>
  <cellStyles count="1">
    <cellStyle name="Normal" xfId="0" builtinId="0"/>
  </cellStyles>
  <dxfs count="318"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/>
        <i val="0"/>
      </font>
      <fill>
        <patternFill>
          <bgColor theme="7" tint="-0.24994659260841701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theme="7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alignment horizontal="left" vertical="bottom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bottom" textRotation="9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702FA1"/>
      <color rgb="FFDD893D"/>
      <color rgb="FFBE8300"/>
      <color rgb="FFF4A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la Wadley" refreshedDate="46090.006083101849" createdVersion="8" refreshedVersion="8" minRefreshableVersion="3" recordCount="263" xr:uid="{BAD26BB2-D32E-A640-939F-8EF71B3E146F}">
  <cacheSource type="worksheet">
    <worksheetSource ref="A2:C265" sheet="University Points"/>
  </cacheSource>
  <cacheFields count="3">
    <cacheField name="University" numFmtId="0">
      <sharedItems count="16">
        <s v="University of Manchester"/>
        <s v="Loughborough University"/>
        <s v="University of Liverpool"/>
        <s v="Northumbria University"/>
        <s v="University of Leicester"/>
        <s v="University of Lincoln"/>
        <s v="University of Leeds"/>
        <s v="University of Sheffield"/>
        <s v="University of Nottingham"/>
        <s v="University of York"/>
        <s v="Durham University"/>
        <s v="Leeds Beckett University"/>
        <s v="Nottingham Trent University"/>
        <s v="Sheffield Hallam University"/>
        <s v="Keele University"/>
        <s v="University of Edinburgh"/>
      </sharedItems>
    </cacheField>
    <cacheField name="Name" numFmtId="0">
      <sharedItems count="255">
        <s v="Ben Julian"/>
        <s v="Blake Eldridge"/>
        <s v="Dani Barakov-Trankov"/>
        <s v="Ewan Mcilraith"/>
        <s v="Filip Poczatek"/>
        <s v="Jacob Ryan"/>
        <s v="William Calder"/>
        <s v="Lily Baker"/>
        <s v="Ayesha Abdullahi"/>
        <s v="Ella Rollings"/>
        <s v="Jess Burton"/>
        <s v="Mia Koll"/>
        <s v="Amelia Hughes"/>
        <s v="Vinny Peries"/>
        <s v="Isaac Gooding "/>
        <s v="Lucas Ramirez-Capes"/>
        <s v="Dan Jones"/>
        <s v="James Chan"/>
        <s v="Hugh Hutchinson"/>
        <s v="William Johnson"/>
        <s v="Koby Walters"/>
        <s v="Alex Zervos"/>
        <s v="Adam Chaib"/>
        <s v="Jack Sumpter"/>
        <s v="Danail Barakov-Trankov "/>
        <s v="Harvey Unthank"/>
        <s v="Joe Dodson"/>
        <s v="Kiera Hurst"/>
        <s v="Mia Choules"/>
        <s v="Heather Davenport"/>
        <s v="Ella Well"/>
        <s v="Rhianna Pyne"/>
        <s v="Rachel Bate"/>
        <s v="Adriana Housty"/>
        <s v="Leona Ryan"/>
        <s v="Scarlett Cherry"/>
        <s v="Chloe Thompson"/>
        <s v="Ella Wadley"/>
        <s v="Esme Lewis"/>
        <s v="Grace Lin"/>
        <s v="Kirstey Achterberg"/>
        <s v="Niamh Hardy"/>
        <s v="Victoria Corbett"/>
        <s v="Eimear Galvin"/>
        <s v="Ami Richardson"/>
        <s v="Maddie Peacock"/>
        <s v="Ella Waldron"/>
        <s v="Olivia Cartwright"/>
        <s v="Charlotte Grant"/>
        <s v="Cordelia Ming"/>
        <s v="Erin McCormack"/>
        <s v="Jasmine Thomas"/>
        <s v="Sophie Munt"/>
        <s v="Joe Reynolds"/>
        <s v="Israel Jerome Tayo Olatunde"/>
        <s v="Benito Golia-Foxely"/>
        <s v="James Odonnell"/>
        <s v="Tanvir Radhoa"/>
        <s v="Thomas March"/>
        <s v="James Rowe"/>
        <s v="Nathanial Halls"/>
        <s v="Bodi Butler"/>
        <s v="Joeseph Gunning-Thompson"/>
        <s v="Jake Robinson"/>
        <s v="Benjamin Stout"/>
        <s v="Samuel Moorhouse"/>
        <s v="Xavier Caine"/>
        <s v="Wing Sum Yip"/>
        <s v="Ruby Taylor"/>
        <s v="Ruby Holland"/>
        <s v="Lily Norbury"/>
        <s v="Ellie Mahoney"/>
        <s v="Annie Wallace"/>
        <s v="Robyn Garner"/>
        <s v="Maddy McCulley"/>
        <s v="Maren Van Elsaecker"/>
        <s v="Mia Wilson"/>
        <s v="Eleanor Dakin"/>
        <s v="Jessica Meredith"/>
        <s v="Aimee Ross"/>
        <s v="Jenna Sorrill"/>
        <s v="Emma May"/>
        <s v="Rebecca Topping"/>
        <s v="Niyah Bethune"/>
        <s v="Lidia Grunwald"/>
        <s v="Louise Hirst"/>
        <s v="Eloise Murphy"/>
        <s v="Emilly Spicer-Gregory"/>
        <s v="Annabelle Bridge"/>
        <s v="Mia Ammanath"/>
        <s v="Daniella Brown"/>
        <s v="Eleane Runnalls"/>
        <s v="Naia Ashwell"/>
        <s v="Rebecca Haskins"/>
        <s v="Laura Clemen"/>
        <s v="Izzie Goddard"/>
        <s v="India Shally"/>
        <s v="Magan Cappi"/>
        <s v="Evie Willett"/>
        <s v="Sophie Marson"/>
        <s v="Ava Wood"/>
        <s v="Lydia Starling"/>
        <s v="Isobel Lee"/>
        <s v="Nicole Latour"/>
        <s v="Edith Lindo"/>
        <s v="Charlotte Wells"/>
        <s v="Celina Seelinger"/>
        <s v="Fran Mbewe"/>
        <s v="Libby Smithirst"/>
        <s v="Ewa Krzyzanowska"/>
        <s v="Amelie Matthews"/>
        <s v="Katie Hall"/>
        <s v="Libby Gascoyne"/>
        <s v="Adama Jobe"/>
        <s v="Aisling Hurley"/>
        <s v="Aneesha Nair"/>
        <s v="Ellie Steeple"/>
        <s v="Emily Wall"/>
        <s v="Hannah Boot"/>
        <s v="India Grace"/>
        <s v="Izzy Gwyther"/>
        <s v="Sydney Kemish"/>
        <s v="Aidan Obambi"/>
        <s v="Alfie Barker"/>
        <s v="Andrew Anderson"/>
        <s v="Ben Howell"/>
        <s v="Cody Aspden"/>
        <s v="Danylo Sheiko"/>
        <s v="Dominic Forshaw"/>
        <s v="Gabriel Szatan"/>
        <s v="Ibraheem Reza"/>
        <s v="Jamie Berry"/>
        <s v="Jonah Twelftree"/>
        <s v="Joshua Jaquiery"/>
        <s v="Matthew Dawson"/>
        <s v="Matthew MacIntosh"/>
        <s v="Nathan McClelland"/>
        <s v="Oli Tickner-Bellau"/>
        <s v="Quintin Kemish"/>
        <s v="Rayhan Amer Imran"/>
        <s v="Sean Williamson"/>
        <s v="TJ Mutemererwa"/>
        <s v="Amy Buckley"/>
        <s v="Beatrix Rock"/>
        <s v="Millie Hughes "/>
        <s v="Jessica Wilde"/>
        <s v="Isla Luxton-Brookes"/>
        <s v="Amy Jones"/>
        <s v="Lara Herridge-Lewer"/>
        <s v="Leah Waughman"/>
        <s v="Charlotte Bainbridge"/>
        <s v="Nathan Cattan"/>
        <s v="Ester Okotie-Eboh"/>
        <s v="Margareta von Samson Himmelstierna"/>
        <s v="Alex Mulvey"/>
        <s v="Halle Smith"/>
        <s v="Beth Kirkham"/>
        <s v="Louise Moore"/>
        <s v="Holly Sayer"/>
        <s v="Milly Ampofo-Anti"/>
        <s v="Megan Carolan"/>
        <s v="Emily Nuttall"/>
        <s v="SJ Deabrew-Abeyesinhe"/>
        <s v="Joanna Snelling"/>
        <s v="Emily Burgess"/>
        <s v="Alexia Rogers"/>
        <s v="Sophie Wilkinson"/>
        <s v="Tyler Lynn"/>
        <s v="Rosie Ward"/>
        <s v="Megan Price"/>
        <s v="Ritika Jain"/>
        <s v="Sinjita Vaslie"/>
        <s v="Millie Barnham"/>
        <s v="Emily Strong"/>
        <s v="Amelie Cutler"/>
        <s v="Isla Blackaby"/>
        <s v="Neve Wilkinson"/>
        <s v="Yasmine Alderson"/>
        <s v="Yasmine Harvey"/>
        <s v="Ester Davidson"/>
        <s v="Lily Parkin"/>
        <s v="Eve Bennett"/>
        <s v="Catherine Gibson"/>
        <s v="Megan Shaw"/>
        <s v="Hannah Jones"/>
        <s v="Rosalind Walkley"/>
        <s v="Ella Anderton"/>
        <s v="Molly Hauton"/>
        <s v="Cerys Evans"/>
        <s v="Leah Clarke"/>
        <s v="Tamara Stone"/>
        <s v="Nikola Miler"/>
        <s v="Balla Given"/>
        <s v="Cerys Matthews"/>
        <s v="Jasmine Wheatley"/>
        <s v="Jessica Grizenkova"/>
        <s v="Alesha Sarfaz"/>
        <s v="Bethany Falconer"/>
        <s v="Ella Hockridge-Ford"/>
        <s v="Ellie Burgess"/>
        <s v="Fearne Woolley"/>
        <s v="Frances Geldard"/>
        <s v="Grace Williams"/>
        <s v="Halle Cooke"/>
        <s v="Holly Trellis"/>
        <s v="Larissa Campbell"/>
        <s v="Lildh Campbell"/>
        <s v="Lola Rodriguez"/>
        <s v="Lucy Willis"/>
        <s v="Molly Wade"/>
        <s v="Sarah Theobald"/>
        <s v="Nathan Reynolds"/>
        <s v="James Elles-Arnison"/>
        <s v="Nathan Jones"/>
        <s v="Aaron Walker"/>
        <s v="Joshua McDermott"/>
        <s v="Lewis McCann"/>
        <s v="Joe Curtis"/>
        <s v="Quentin Botchway"/>
        <s v="Abigail Trinder"/>
        <s v="Aisha Samuel"/>
        <s v="Amber Krepi"/>
        <s v="Angela Moyo"/>
        <s v="Ashna Kantelia"/>
        <s v="Ayekaba Esimi"/>
        <s v="Bairavee Sivakanthan"/>
        <s v="Bethany Cooper"/>
        <s v="Caitlin Teagle"/>
        <s v="Calese Reid"/>
        <s v="Chenai Drage"/>
        <s v="Chloe Macek"/>
        <s v="Ebony Lound"/>
        <s v="Ellie Heard"/>
        <s v="Emma Ferrari"/>
        <s v="Faith Farmery"/>
        <s v="Ferne Woolley"/>
        <s v="Georgina Green"/>
        <s v="Hannah Matthews"/>
        <s v="Hollie Farmer"/>
        <s v="Imi Junge"/>
        <s v="Joelle Nkansah"/>
        <s v="Lucy Allum"/>
        <s v="Madison Coburn"/>
        <s v="Maisie Mawby"/>
        <s v="Mia Watson"/>
        <s v="Millie Hughes"/>
        <s v="Mollie Hardwick"/>
        <s v="Olivia Sigsworth"/>
        <s v="Rebecca Humphreys"/>
        <s v="Ruby Hicks"/>
        <s v="Sadie Shanley"/>
        <s v="Samara Pearson"/>
        <s v="Shannon Murphy"/>
        <s v="Sophie Ridd"/>
        <s v="Tania Makumire" u="1"/>
      </sharedItems>
    </cacheField>
    <cacheField name="AA Comp 1" numFmtId="0">
      <sharedItems containsSemiMixedTypes="0" containsString="0" containsNumber="1" minValue="0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la Wadley" refreshedDate="46090.770166898146" createdVersion="8" refreshedVersion="8" minRefreshableVersion="3" recordCount="263" xr:uid="{7B939C5A-B334-E441-9726-D3A63FA8B160}">
  <cacheSource type="worksheet">
    <worksheetSource ref="E2:G265" sheet="University Points"/>
  </cacheSource>
  <cacheFields count="3">
    <cacheField name="University" numFmtId="0">
      <sharedItems count="16">
        <s v="University of Manchester"/>
        <s v="Loughborough University"/>
        <s v="University of Liverpool"/>
        <s v="Northumbria University"/>
        <s v="University of Leicester"/>
        <s v="University of Sheffield"/>
        <s v="University of Lincoln"/>
        <s v="University of Leeds"/>
        <s v="University of Nottingham"/>
        <s v="University of York"/>
        <s v="Durham University"/>
        <s v="Leeds Beckett University"/>
        <s v="Sheffield Hallam University"/>
        <s v="Nottingham Trent University"/>
        <s v="Keele University"/>
        <s v="University of Edinburgh"/>
      </sharedItems>
    </cacheField>
    <cacheField name="Name" numFmtId="0">
      <sharedItems count="255">
        <s v="Ben Julian"/>
        <s v="Blake Eldridge"/>
        <s v="Jacob Ryan"/>
        <s v="Ewan Mcilraith"/>
        <s v="William Calder"/>
        <s v="Filip Poczatek"/>
        <s v="Dani Barakov-Trankov"/>
        <s v="Lily Baker"/>
        <s v="Jess Burton"/>
        <s v="Amelia Hughes"/>
        <s v="Ayesha Abdullahi"/>
        <s v="Mia Koll"/>
        <s v="Ella Rollings"/>
        <s v="Vinny Peries"/>
        <s v="Alex Zervos"/>
        <s v="James Chan"/>
        <s v="Jack Sumpter"/>
        <s v="Lucas Ramirez-Capes"/>
        <s v="Hugh Hutchinson"/>
        <s v="William Johnson"/>
        <s v="Dan Jones"/>
        <s v="Adam Chaib"/>
        <s v="Joe Dodson"/>
        <s v="Isaac Gooding "/>
        <s v="Koby Walters"/>
        <s v="Harvey Unthank"/>
        <s v="Danail Barakov-Trankov "/>
        <s v="Kiera Hurst"/>
        <s v="Mia Choules"/>
        <s v="Olivia Cartwright"/>
        <s v="Ella Wadley"/>
        <s v="Ami Richardson"/>
        <s v="Niamh Hardy"/>
        <s v="Victoria Corbett"/>
        <s v="Ella Waldron"/>
        <s v="Eimear Galvin"/>
        <s v="Grace Lin"/>
        <s v="Scarlett Cherry"/>
        <s v="Leona Ryan"/>
        <s v="Jasmine Thomas"/>
        <s v="Heather Davenport"/>
        <s v="Ella Well"/>
        <s v="Kirstey Achterberg"/>
        <s v="Esme Lewis"/>
        <s v="Cordelia Ming"/>
        <s v="Rhianna Pyne"/>
        <s v="Chloe Thompson"/>
        <s v="Erin McCormack"/>
        <s v="Rachel Bate"/>
        <s v="Adriana Housty"/>
        <s v="Charlotte Grant"/>
        <s v="Maddie Peacock"/>
        <s v="Sophie Munt"/>
        <s v="Benito Golia-Foxely"/>
        <s v="Jake Robinson"/>
        <s v="James Rowe"/>
        <s v="Joe Reynolds"/>
        <s v="Thomas March"/>
        <s v="Tanvir Radhoa"/>
        <s v="Joeseph Gunning-Thompson"/>
        <s v="Samuel Moorhouse"/>
        <s v="James Odonnell"/>
        <s v="Nathanial Halls"/>
        <s v="Xavier Caine"/>
        <s v="Israel Jerome Tayo Olatunde"/>
        <s v="Bodi Butler"/>
        <s v="Benjamin Stout"/>
        <s v="Charlotte Wells"/>
        <s v="Rebecca Topping"/>
        <s v="Annie Wallace"/>
        <s v="Laura Clemen"/>
        <s v="Nicole Latour"/>
        <s v="Louise Hirst"/>
        <s v="Magan Cappi"/>
        <s v="Ava Wood"/>
        <s v="Emma May"/>
        <s v="Jenna Sorrill"/>
        <s v="Izzie Goddard"/>
        <s v="Libby Smithirst"/>
        <s v="Eleane Runnalls"/>
        <s v="Daniella Brown"/>
        <s v="Robyn Garner"/>
        <s v="Rebecca Haskins"/>
        <s v="Libby Gascoyne"/>
        <s v="Maddy McCulley"/>
        <s v="Mia Wilson"/>
        <s v="Lydia Starling"/>
        <s v="Mia Ammanath"/>
        <s v="Ruby Taylor"/>
        <s v="Ewa Krzyzanowska"/>
        <s v="Niyah Bethune"/>
        <s v="India Shally"/>
        <s v="Aneesha Nair"/>
        <s v="Fran Mbewe"/>
        <s v="Aisling Hurley"/>
        <s v="Celina Seelinger"/>
        <s v="Adama Jobe"/>
        <s v="Eleanor Dakin"/>
        <s v="Sydney Kemish"/>
        <s v="Emily Wall"/>
        <s v="Maren Van Elsaecker"/>
        <s v="Ellie Mahoney"/>
        <s v="Eloise Murphy"/>
        <s v="Isobel Lee"/>
        <s v="Amelie Matthews"/>
        <s v="Lily Norbury"/>
        <s v="Wing Sum Yip"/>
        <s v="Ruby Holland"/>
        <s v="Katie Hall"/>
        <s v="Evie Willett"/>
        <s v="Emilly Spicer-Gregory"/>
        <s v="Annabelle Bridge"/>
        <s v="Edith Lindo"/>
        <s v="Ellie Steeple"/>
        <s v="Jessica Meredith"/>
        <s v="Sophie Marson"/>
        <s v="Lidia Grunwald"/>
        <s v="Hannah Boot"/>
        <s v="Izzy Gwyther"/>
        <s v="Aimee Ross"/>
        <s v="Naia Ashwell"/>
        <s v="India Grace"/>
        <s v="Ben Howell"/>
        <s v="Jonah Twelftree"/>
        <s v="Joshua Jaquiery"/>
        <s v="Matthew Dawson"/>
        <s v="Aidan Obambi"/>
        <s v="Dominic Forshaw"/>
        <s v="Quintin Kemish"/>
        <s v="Jamie Berry"/>
        <s v="TJ Mutemererwa"/>
        <s v="Ibraheem Reza"/>
        <s v="Danylo Sheiko"/>
        <s v="Oli Tickner-Bellau"/>
        <s v="Nathan McClelland"/>
        <s v="Andrew Anderson"/>
        <s v="Rayhan Amer Imran"/>
        <s v="Sean Williamson"/>
        <s v="Matthew MacIntosh"/>
        <s v="Alfie Barker"/>
        <s v="Cody Aspden"/>
        <s v="Gabriel Szatan"/>
        <s v="Margareta von Samson Himmelstierna"/>
        <s v="Cerys Evans"/>
        <s v="Tamara Stone"/>
        <s v="Alex Mulvey"/>
        <s v="Emily Nuttall"/>
        <s v="Hannah Jones"/>
        <s v="Catherine Gibson"/>
        <s v="Charlotte Bainbridge"/>
        <s v="Amelie Cutler"/>
        <s v="Yasmine Harvey"/>
        <s v="Amy Buckley"/>
        <s v="Nathan Cattan"/>
        <s v="Rosalind Walkley"/>
        <s v="Lily Parkin"/>
        <s v="Millie Barnham"/>
        <s v="Isla Luxton-Brookes"/>
        <s v="Eve Bennett"/>
        <s v="Megan Shaw"/>
        <s v="Ester Davidson"/>
        <s v="Yasmine Alderson"/>
        <s v="Leah Clarke"/>
        <s v="Lucy Willis"/>
        <s v="Bethany Falconer"/>
        <s v="Joanna Snelling"/>
        <s v="Louise Moore"/>
        <s v="Jessica Wilde"/>
        <s v="Sinjita Vaslie"/>
        <s v="Lara Herridge-Lewer"/>
        <s v="Beth Kirkham"/>
        <s v="Ester Okotie-Eboh"/>
        <s v="Beatrix Rock"/>
        <s v="Halle Smith"/>
        <s v="Molly Wade"/>
        <s v="Jasmine Wheatley"/>
        <s v="Molly Hauton"/>
        <s v="SJ Deabrew-Abeyesinhe"/>
        <s v="Millie Hughes "/>
        <s v="Alexia Rogers"/>
        <s v="Neve Wilkinson"/>
        <s v="Ella Hockridge-Ford"/>
        <s v="Megan Carolan"/>
        <s v="Ritika Jain"/>
        <s v="Alesha Sarfaz"/>
        <s v="Ella Anderton"/>
        <s v="Lola Rodriguez"/>
        <s v="Megan Price"/>
        <s v="Rosie Ward"/>
        <s v="Milly Ampofo-Anti"/>
        <s v="Leah Waughman"/>
        <s v="Halle Cooke"/>
        <s v="Sophie Wilkinson"/>
        <s v="Nikola Miler"/>
        <s v="Cerys Matthews"/>
        <s v="Grace Williams"/>
        <s v="Emily Strong"/>
        <s v="Amy Jones"/>
        <s v="Emily Burgess"/>
        <s v="Tyler Lynn"/>
        <s v="Isla Blackaby"/>
        <s v="Holly Sayer"/>
        <s v="Fearne Woolley"/>
        <s v="Sarah Theobald"/>
        <s v="Frances Geldard"/>
        <s v="Balla Given"/>
        <s v="Jessica Grizenkova"/>
        <s v="Ellie Burgess"/>
        <s v="Holly Trellis"/>
        <s v="Larissa Campbell"/>
        <s v="Lildh Campbell"/>
        <s v="Nathan Reynolds"/>
        <s v="James Elles-Arnison"/>
        <s v="Quentin Botchway"/>
        <s v="Aaron Walker"/>
        <s v="Joe Curtis"/>
        <s v="Lewis McCann"/>
        <s v="Nathan Jones"/>
        <s v="Joshua McDermott"/>
        <s v="Lucy Allum"/>
        <s v="Ashna Kantelia"/>
        <s v="Chenai Drage"/>
        <s v="Maisie Mawby"/>
        <s v="Emma Ferrari"/>
        <s v="Mollie Hardwick"/>
        <s v="Mia Watson"/>
        <s v="Calese Reid"/>
        <s v="Madison Coburn"/>
        <s v="Chloe Macek"/>
        <s v="Ellie Heard"/>
        <s v="Millie Hughes"/>
        <s v="Hollie Farmer"/>
        <s v="Bairavee Sivakanthan"/>
        <s v="Shannon Murphy"/>
        <s v="Hannah Matthews"/>
        <s v="Sadie Shanley"/>
        <s v="Ferne Woolley"/>
        <s v="Georgina Green"/>
        <s v="Angela Moyo"/>
        <s v="Sophie Ridd"/>
        <s v="Joelle Nkansah"/>
        <s v="Imi Junge"/>
        <s v="Abigail Trinder"/>
        <s v="Olivia Sigsworth"/>
        <s v="Tania Makumire"/>
        <s v="Ayekaba Esimi"/>
        <s v="Ruby Hicks"/>
        <s v="Bethany Cooper"/>
        <s v="Samara Pearson"/>
        <s v="Faith Farmery"/>
        <s v="Amber Krepi"/>
        <s v="Aisha Samuel"/>
        <s v="Ebony Lound"/>
        <s v="Caitlin Teagle"/>
        <s v="Rebecca Humphreys" u="1"/>
      </sharedItems>
    </cacheField>
    <cacheField name="AA Comp 2" numFmtId="0">
      <sharedItems containsSemiMixedTypes="0" containsString="0" containsNumber="1" minValue="0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3">
  <r>
    <x v="0"/>
    <x v="0"/>
    <n v="100"/>
  </r>
  <r>
    <x v="0"/>
    <x v="1"/>
    <n v="95.089717757928639"/>
  </r>
  <r>
    <x v="1"/>
    <x v="2"/>
    <n v="0"/>
  </r>
  <r>
    <x v="1"/>
    <x v="3"/>
    <n v="46.275642144341674"/>
  </r>
  <r>
    <x v="1"/>
    <x v="4"/>
    <n v="34.010248925132068"/>
  </r>
  <r>
    <x v="1"/>
    <x v="5"/>
    <n v="95.465723215560601"/>
  </r>
  <r>
    <x v="1"/>
    <x v="6"/>
    <n v="33.794482080246233"/>
  </r>
  <r>
    <x v="2"/>
    <x v="7"/>
    <n v="100"/>
  </r>
  <r>
    <x v="3"/>
    <x v="8"/>
    <n v="0"/>
  </r>
  <r>
    <x v="1"/>
    <x v="9"/>
    <n v="86.15548455804047"/>
  </r>
  <r>
    <x v="1"/>
    <x v="10"/>
    <n v="97.976570820021294"/>
  </r>
  <r>
    <x v="1"/>
    <x v="11"/>
    <n v="0"/>
  </r>
  <r>
    <x v="1"/>
    <x v="12"/>
    <n v="87.859424920127793"/>
  </r>
  <r>
    <x v="4"/>
    <x v="13"/>
    <n v="0"/>
  </r>
  <r>
    <x v="2"/>
    <x v="14"/>
    <n v="0"/>
  </r>
  <r>
    <x v="5"/>
    <x v="15"/>
    <n v="61.978661493695441"/>
  </r>
  <r>
    <x v="5"/>
    <x v="16"/>
    <n v="0"/>
  </r>
  <r>
    <x v="1"/>
    <x v="17"/>
    <n v="85.160038797284173"/>
  </r>
  <r>
    <x v="6"/>
    <x v="18"/>
    <n v="71.48399612027157"/>
  </r>
  <r>
    <x v="3"/>
    <x v="19"/>
    <n v="0"/>
  </r>
  <r>
    <x v="6"/>
    <x v="20"/>
    <n v="0"/>
  </r>
  <r>
    <x v="7"/>
    <x v="21"/>
    <n v="100"/>
  </r>
  <r>
    <x v="7"/>
    <x v="22"/>
    <n v="0"/>
  </r>
  <r>
    <x v="1"/>
    <x v="23"/>
    <n v="80.79534432589719"/>
  </r>
  <r>
    <x v="1"/>
    <x v="24"/>
    <n v="0"/>
  </r>
  <r>
    <x v="6"/>
    <x v="25"/>
    <n v="36.566440349175558"/>
  </r>
  <r>
    <x v="8"/>
    <x v="26"/>
    <n v="61.493695441319119"/>
  </r>
  <r>
    <x v="2"/>
    <x v="27"/>
    <n v="97.399219765929786"/>
  </r>
  <r>
    <x v="2"/>
    <x v="28"/>
    <n v="91.93758127438231"/>
  </r>
  <r>
    <x v="2"/>
    <x v="29"/>
    <n v="0"/>
  </r>
  <r>
    <x v="3"/>
    <x v="30"/>
    <n v="0"/>
  </r>
  <r>
    <x v="3"/>
    <x v="31"/>
    <n v="0"/>
  </r>
  <r>
    <x v="3"/>
    <x v="32"/>
    <n v="0"/>
  </r>
  <r>
    <x v="6"/>
    <x v="33"/>
    <n v="0"/>
  </r>
  <r>
    <x v="6"/>
    <x v="34"/>
    <n v="31.339401820546165"/>
  </r>
  <r>
    <x v="7"/>
    <x v="35"/>
    <n v="92.327698309492845"/>
  </r>
  <r>
    <x v="6"/>
    <x v="36"/>
    <n v="0"/>
  </r>
  <r>
    <x v="0"/>
    <x v="37"/>
    <n v="94.018205461638487"/>
  </r>
  <r>
    <x v="0"/>
    <x v="38"/>
    <n v="0"/>
  </r>
  <r>
    <x v="0"/>
    <x v="39"/>
    <n v="96.749024707412218"/>
  </r>
  <r>
    <x v="0"/>
    <x v="40"/>
    <n v="0"/>
  </r>
  <r>
    <x v="0"/>
    <x v="41"/>
    <n v="82.184655396618993"/>
  </r>
  <r>
    <x v="0"/>
    <x v="42"/>
    <n v="90.897269180754222"/>
  </r>
  <r>
    <x v="1"/>
    <x v="43"/>
    <n v="81.534460338101439"/>
  </r>
  <r>
    <x v="1"/>
    <x v="44"/>
    <n v="92.067620286085813"/>
  </r>
  <r>
    <x v="1"/>
    <x v="45"/>
    <n v="0"/>
  </r>
  <r>
    <x v="1"/>
    <x v="46"/>
    <n v="84.655396618985677"/>
  </r>
  <r>
    <x v="9"/>
    <x v="47"/>
    <n v="90.637191157347189"/>
  </r>
  <r>
    <x v="5"/>
    <x v="48"/>
    <n v="27.308192457737317"/>
  </r>
  <r>
    <x v="10"/>
    <x v="49"/>
    <n v="91.365409622886858"/>
  </r>
  <r>
    <x v="1"/>
    <x v="50"/>
    <n v="69.440832249674898"/>
  </r>
  <r>
    <x v="8"/>
    <x v="51"/>
    <n v="100"/>
  </r>
  <r>
    <x v="6"/>
    <x v="52"/>
    <n v="0"/>
  </r>
  <r>
    <x v="6"/>
    <x v="53"/>
    <n v="94.444444444444429"/>
  </r>
  <r>
    <x v="1"/>
    <x v="54"/>
    <n v="0"/>
  </r>
  <r>
    <x v="1"/>
    <x v="55"/>
    <n v="97.916666666666657"/>
  </r>
  <r>
    <x v="1"/>
    <x v="56"/>
    <n v="45.833333333333329"/>
  </r>
  <r>
    <x v="1"/>
    <x v="57"/>
    <n v="47.106481481481481"/>
  </r>
  <r>
    <x v="11"/>
    <x v="58"/>
    <n v="89.351851851851833"/>
  </r>
  <r>
    <x v="9"/>
    <x v="59"/>
    <n v="100"/>
  </r>
  <r>
    <x v="12"/>
    <x v="60"/>
    <n v="0"/>
  </r>
  <r>
    <x v="12"/>
    <x v="61"/>
    <n v="0"/>
  </r>
  <r>
    <x v="13"/>
    <x v="62"/>
    <n v="37.731481481481481"/>
  </r>
  <r>
    <x v="5"/>
    <x v="63"/>
    <n v="96.874999999999972"/>
  </r>
  <r>
    <x v="8"/>
    <x v="64"/>
    <n v="0"/>
  </r>
  <r>
    <x v="5"/>
    <x v="16"/>
    <n v="99.074074074074062"/>
  </r>
  <r>
    <x v="13"/>
    <x v="65"/>
    <n v="93.402777777777786"/>
  </r>
  <r>
    <x v="6"/>
    <x v="66"/>
    <n v="31.712962962962958"/>
  </r>
  <r>
    <x v="2"/>
    <x v="67"/>
    <n v="0"/>
  </r>
  <r>
    <x v="2"/>
    <x v="68"/>
    <n v="0"/>
  </r>
  <r>
    <x v="2"/>
    <x v="69"/>
    <n v="0"/>
  </r>
  <r>
    <x v="2"/>
    <x v="70"/>
    <n v="0"/>
  </r>
  <r>
    <x v="9"/>
    <x v="71"/>
    <n v="0"/>
  </r>
  <r>
    <x v="9"/>
    <x v="72"/>
    <n v="93.010752688172019"/>
  </r>
  <r>
    <x v="9"/>
    <x v="73"/>
    <n v="84.005376344086017"/>
  </r>
  <r>
    <x v="12"/>
    <x v="74"/>
    <n v="0"/>
  </r>
  <r>
    <x v="12"/>
    <x v="75"/>
    <n v="0"/>
  </r>
  <r>
    <x v="14"/>
    <x v="76"/>
    <n v="0"/>
  </r>
  <r>
    <x v="14"/>
    <x v="77"/>
    <n v="0"/>
  </r>
  <r>
    <x v="5"/>
    <x v="78"/>
    <n v="0"/>
  </r>
  <r>
    <x v="5"/>
    <x v="79"/>
    <n v="0"/>
  </r>
  <r>
    <x v="5"/>
    <x v="80"/>
    <n v="87.365591397849457"/>
  </r>
  <r>
    <x v="5"/>
    <x v="81"/>
    <n v="90.994623655913969"/>
  </r>
  <r>
    <x v="1"/>
    <x v="82"/>
    <n v="91.801075268817186"/>
  </r>
  <r>
    <x v="1"/>
    <x v="83"/>
    <n v="0"/>
  </r>
  <r>
    <x v="1"/>
    <x v="84"/>
    <n v="0"/>
  </r>
  <r>
    <x v="1"/>
    <x v="85"/>
    <n v="89.247311827956992"/>
  </r>
  <r>
    <x v="1"/>
    <x v="86"/>
    <n v="0"/>
  </r>
  <r>
    <x v="1"/>
    <x v="87"/>
    <n v="0"/>
  </r>
  <r>
    <x v="1"/>
    <x v="88"/>
    <n v="0"/>
  </r>
  <r>
    <x v="1"/>
    <x v="89"/>
    <n v="0"/>
  </r>
  <r>
    <x v="0"/>
    <x v="90"/>
    <n v="54.838709677419352"/>
  </r>
  <r>
    <x v="0"/>
    <x v="91"/>
    <n v="87.499999999999986"/>
  </r>
  <r>
    <x v="0"/>
    <x v="92"/>
    <n v="0"/>
  </r>
  <r>
    <x v="0"/>
    <x v="93"/>
    <n v="84.677419354838705"/>
  </r>
  <r>
    <x v="11"/>
    <x v="94"/>
    <n v="95.430107526881713"/>
  </r>
  <r>
    <x v="11"/>
    <x v="95"/>
    <n v="89.91935483870968"/>
  </r>
  <r>
    <x v="11"/>
    <x v="96"/>
    <n v="0"/>
  </r>
  <r>
    <x v="11"/>
    <x v="97"/>
    <n v="88.709677419354833"/>
  </r>
  <r>
    <x v="11"/>
    <x v="98"/>
    <n v="0"/>
  </r>
  <r>
    <x v="11"/>
    <x v="99"/>
    <n v="0"/>
  </r>
  <r>
    <x v="6"/>
    <x v="100"/>
    <n v="90.188172043010738"/>
  </r>
  <r>
    <x v="6"/>
    <x v="101"/>
    <n v="0"/>
  </r>
  <r>
    <x v="6"/>
    <x v="102"/>
    <n v="0"/>
  </r>
  <r>
    <x v="6"/>
    <x v="103"/>
    <n v="93.817204301075265"/>
  </r>
  <r>
    <x v="6"/>
    <x v="104"/>
    <n v="0"/>
  </r>
  <r>
    <x v="13"/>
    <x v="105"/>
    <n v="95.698924731182785"/>
  </r>
  <r>
    <x v="13"/>
    <x v="106"/>
    <n v="0"/>
  </r>
  <r>
    <x v="13"/>
    <x v="107"/>
    <n v="0"/>
  </r>
  <r>
    <x v="7"/>
    <x v="108"/>
    <n v="82.79569892473117"/>
  </r>
  <r>
    <x v="7"/>
    <x v="109"/>
    <n v="0"/>
  </r>
  <r>
    <x v="7"/>
    <x v="110"/>
    <n v="86.55913978494624"/>
  </r>
  <r>
    <x v="11"/>
    <x v="111"/>
    <n v="80.376344086021504"/>
  </r>
  <r>
    <x v="1"/>
    <x v="112"/>
    <n v="100"/>
  </r>
  <r>
    <x v="11"/>
    <x v="113"/>
    <n v="90.322580645161281"/>
  </r>
  <r>
    <x v="15"/>
    <x v="114"/>
    <n v="91.532258064516114"/>
  </r>
  <r>
    <x v="0"/>
    <x v="115"/>
    <n v="94.758064516129025"/>
  </r>
  <r>
    <x v="6"/>
    <x v="116"/>
    <n v="57.795698924731177"/>
  </r>
  <r>
    <x v="6"/>
    <x v="117"/>
    <n v="89.51612903225805"/>
  </r>
  <r>
    <x v="10"/>
    <x v="118"/>
    <n v="35.215053763440856"/>
  </r>
  <r>
    <x v="11"/>
    <x v="119"/>
    <n v="0"/>
  </r>
  <r>
    <x v="10"/>
    <x v="120"/>
    <n v="30.241935483870964"/>
  </r>
  <r>
    <x v="7"/>
    <x v="121"/>
    <n v="89.784946236559151"/>
  </r>
  <r>
    <x v="6"/>
    <x v="122"/>
    <n v="85.236768802228397"/>
  </r>
  <r>
    <x v="6"/>
    <x v="123"/>
    <n v="0"/>
  </r>
  <r>
    <x v="5"/>
    <x v="124"/>
    <n v="66.295264623955418"/>
  </r>
  <r>
    <x v="1"/>
    <x v="125"/>
    <n v="0"/>
  </r>
  <r>
    <x v="5"/>
    <x v="126"/>
    <n v="0"/>
  </r>
  <r>
    <x v="2"/>
    <x v="127"/>
    <n v="88.440111420612794"/>
  </r>
  <r>
    <x v="6"/>
    <x v="128"/>
    <n v="95.264623955431745"/>
  </r>
  <r>
    <x v="7"/>
    <x v="129"/>
    <n v="100"/>
  </r>
  <r>
    <x v="2"/>
    <x v="130"/>
    <n v="13.370473537604454"/>
  </r>
  <r>
    <x v="13"/>
    <x v="131"/>
    <n v="96.796657381615574"/>
  </r>
  <r>
    <x v="1"/>
    <x v="132"/>
    <n v="63.649025069637879"/>
  </r>
  <r>
    <x v="2"/>
    <x v="133"/>
    <n v="0"/>
  </r>
  <r>
    <x v="6"/>
    <x v="134"/>
    <n v="0"/>
  </r>
  <r>
    <x v="15"/>
    <x v="135"/>
    <n v="93.593314763231177"/>
  </r>
  <r>
    <x v="7"/>
    <x v="136"/>
    <n v="85.51532033426183"/>
  </r>
  <r>
    <x v="7"/>
    <x v="137"/>
    <n v="85.097493036211688"/>
  </r>
  <r>
    <x v="13"/>
    <x v="138"/>
    <n v="92.618384401114199"/>
  </r>
  <r>
    <x v="1"/>
    <x v="139"/>
    <n v="94.986072423398312"/>
  </r>
  <r>
    <x v="1"/>
    <x v="140"/>
    <n v="94.986072423398298"/>
  </r>
  <r>
    <x v="12"/>
    <x v="141"/>
    <n v="0"/>
  </r>
  <r>
    <x v="6"/>
    <x v="142"/>
    <n v="90.112640801001248"/>
  </r>
  <r>
    <x v="6"/>
    <x v="143"/>
    <n v="0"/>
  </r>
  <r>
    <x v="6"/>
    <x v="144"/>
    <n v="0"/>
  </r>
  <r>
    <x v="6"/>
    <x v="145"/>
    <n v="67.08385481852315"/>
  </r>
  <r>
    <x v="6"/>
    <x v="146"/>
    <n v="63.704630788485602"/>
  </r>
  <r>
    <x v="6"/>
    <x v="147"/>
    <n v="0"/>
  </r>
  <r>
    <x v="6"/>
    <x v="148"/>
    <n v="0"/>
  </r>
  <r>
    <x v="6"/>
    <x v="149"/>
    <n v="0"/>
  </r>
  <r>
    <x v="6"/>
    <x v="116"/>
    <n v="0"/>
  </r>
  <r>
    <x v="9"/>
    <x v="150"/>
    <n v="79.84981226533165"/>
  </r>
  <r>
    <x v="9"/>
    <x v="151"/>
    <n v="78.598247809762185"/>
  </r>
  <r>
    <x v="0"/>
    <x v="152"/>
    <n v="0"/>
  </r>
  <r>
    <x v="0"/>
    <x v="153"/>
    <n v="98.372966207759688"/>
  </r>
  <r>
    <x v="1"/>
    <x v="154"/>
    <n v="92.615769712140178"/>
  </r>
  <r>
    <x v="1"/>
    <x v="155"/>
    <n v="0"/>
  </r>
  <r>
    <x v="1"/>
    <x v="156"/>
    <n v="28.285356695869833"/>
  </r>
  <r>
    <x v="1"/>
    <x v="157"/>
    <n v="0"/>
  </r>
  <r>
    <x v="1"/>
    <x v="158"/>
    <n v="0"/>
  </r>
  <r>
    <x v="1"/>
    <x v="159"/>
    <n v="0"/>
  </r>
  <r>
    <x v="1"/>
    <x v="160"/>
    <n v="0"/>
  </r>
  <r>
    <x v="1"/>
    <x v="161"/>
    <n v="82.728410513141412"/>
  </r>
  <r>
    <x v="1"/>
    <x v="162"/>
    <n v="0"/>
  </r>
  <r>
    <x v="1"/>
    <x v="163"/>
    <n v="0"/>
  </r>
  <r>
    <x v="1"/>
    <x v="164"/>
    <n v="0"/>
  </r>
  <r>
    <x v="1"/>
    <x v="165"/>
    <n v="0"/>
  </r>
  <r>
    <x v="3"/>
    <x v="166"/>
    <n v="0"/>
  </r>
  <r>
    <x v="3"/>
    <x v="167"/>
    <n v="0"/>
  </r>
  <r>
    <x v="3"/>
    <x v="168"/>
    <n v="0"/>
  </r>
  <r>
    <x v="11"/>
    <x v="169"/>
    <n v="38.047559449311635"/>
  </r>
  <r>
    <x v="4"/>
    <x v="170"/>
    <n v="0"/>
  </r>
  <r>
    <x v="13"/>
    <x v="171"/>
    <n v="0"/>
  </r>
  <r>
    <x v="13"/>
    <x v="172"/>
    <n v="60.450563204005"/>
  </r>
  <r>
    <x v="13"/>
    <x v="173"/>
    <n v="0"/>
  </r>
  <r>
    <x v="5"/>
    <x v="174"/>
    <n v="79.474342928660818"/>
  </r>
  <r>
    <x v="5"/>
    <x v="175"/>
    <n v="0"/>
  </r>
  <r>
    <x v="5"/>
    <x v="176"/>
    <n v="0"/>
  </r>
  <r>
    <x v="5"/>
    <x v="177"/>
    <n v="83.729662077596998"/>
  </r>
  <r>
    <x v="5"/>
    <x v="178"/>
    <n v="76.720901126408009"/>
  </r>
  <r>
    <x v="7"/>
    <x v="179"/>
    <n v="52.315394242803492"/>
  </r>
  <r>
    <x v="7"/>
    <x v="180"/>
    <n v="60.075093867334161"/>
  </r>
  <r>
    <x v="7"/>
    <x v="181"/>
    <n v="71.088861076345424"/>
  </r>
  <r>
    <x v="7"/>
    <x v="182"/>
    <n v="75.96996245306633"/>
  </r>
  <r>
    <x v="7"/>
    <x v="183"/>
    <n v="81.602002503128915"/>
  </r>
  <r>
    <x v="7"/>
    <x v="184"/>
    <n v="75.844806007509362"/>
  </r>
  <r>
    <x v="7"/>
    <x v="185"/>
    <n v="61.827284105131412"/>
  </r>
  <r>
    <x v="7"/>
    <x v="186"/>
    <n v="0"/>
  </r>
  <r>
    <x v="7"/>
    <x v="187"/>
    <n v="0"/>
  </r>
  <r>
    <x v="2"/>
    <x v="188"/>
    <n v="95.61952440550688"/>
  </r>
  <r>
    <x v="2"/>
    <x v="189"/>
    <n v="59.073842302878596"/>
  </r>
  <r>
    <x v="2"/>
    <x v="190"/>
    <n v="94.493116395494354"/>
  </r>
  <r>
    <x v="14"/>
    <x v="191"/>
    <n v="0"/>
  </r>
  <r>
    <x v="8"/>
    <x v="192"/>
    <n v="0"/>
  </r>
  <r>
    <x v="7"/>
    <x v="193"/>
    <n v="69.837296620775959"/>
  </r>
  <r>
    <x v="10"/>
    <x v="194"/>
    <n v="93.116395494367964"/>
  </r>
  <r>
    <x v="2"/>
    <x v="195"/>
    <n v="0"/>
  </r>
  <r>
    <x v="5"/>
    <x v="79"/>
    <n v="64.455569461827281"/>
  </r>
  <r>
    <x v="15"/>
    <x v="196"/>
    <n v="86.483103879849793"/>
  </r>
  <r>
    <x v="1"/>
    <x v="88"/>
    <n v="86.983729662077593"/>
  </r>
  <r>
    <x v="13"/>
    <x v="197"/>
    <n v="98.998748435544414"/>
  </r>
  <r>
    <x v="2"/>
    <x v="198"/>
    <n v="88.61076345431789"/>
  </r>
  <r>
    <x v="1"/>
    <x v="199"/>
    <n v="0"/>
  </r>
  <r>
    <x v="13"/>
    <x v="200"/>
    <n v="45.056320400500624"/>
  </r>
  <r>
    <x v="11"/>
    <x v="201"/>
    <n v="28.785982478097623"/>
  </r>
  <r>
    <x v="15"/>
    <x v="202"/>
    <n v="63.829787234042549"/>
  </r>
  <r>
    <x v="5"/>
    <x v="203"/>
    <n v="75.344180225281605"/>
  </r>
  <r>
    <x v="2"/>
    <x v="204"/>
    <n v="0"/>
  </r>
  <r>
    <x v="5"/>
    <x v="78"/>
    <n v="81.977471839799747"/>
  </r>
  <r>
    <x v="6"/>
    <x v="205"/>
    <n v="0"/>
  </r>
  <r>
    <x v="8"/>
    <x v="206"/>
    <n v="0"/>
  </r>
  <r>
    <x v="2"/>
    <x v="70"/>
    <n v="95.118898623279094"/>
  </r>
  <r>
    <x v="7"/>
    <x v="207"/>
    <n v="82.978723404255334"/>
  </r>
  <r>
    <x v="15"/>
    <x v="208"/>
    <n v="99.749687108886107"/>
  </r>
  <r>
    <x v="9"/>
    <x v="209"/>
    <n v="93.617021276595736"/>
  </r>
  <r>
    <x v="6"/>
    <x v="210"/>
    <n v="41.301627033792236"/>
  </r>
  <r>
    <x v="2"/>
    <x v="67"/>
    <n v="100"/>
  </r>
  <r>
    <x v="7"/>
    <x v="211"/>
    <n v="92.035398230088504"/>
  </r>
  <r>
    <x v="7"/>
    <x v="212"/>
    <n v="100"/>
  </r>
  <r>
    <x v="7"/>
    <x v="213"/>
    <n v="87.61061946902656"/>
  </r>
  <r>
    <x v="15"/>
    <x v="214"/>
    <n v="96.755162241887902"/>
  </r>
  <r>
    <x v="14"/>
    <x v="215"/>
    <n v="0"/>
  </r>
  <r>
    <x v="14"/>
    <x v="216"/>
    <n v="0"/>
  </r>
  <r>
    <x v="14"/>
    <x v="217"/>
    <n v="0"/>
  </r>
  <r>
    <x v="4"/>
    <x v="218"/>
    <n v="0"/>
  </r>
  <r>
    <x v="3"/>
    <x v="219"/>
    <n v="0"/>
  </r>
  <r>
    <x v="3"/>
    <x v="220"/>
    <n v="0"/>
  </r>
  <r>
    <x v="3"/>
    <x v="221"/>
    <n v="0"/>
  </r>
  <r>
    <x v="6"/>
    <x v="147"/>
    <n v="94.515590200445445"/>
  </r>
  <r>
    <x v="5"/>
    <x v="222"/>
    <n v="0"/>
  </r>
  <r>
    <x v="6"/>
    <x v="223"/>
    <n v="89.922048997772819"/>
  </r>
  <r>
    <x v="4"/>
    <x v="224"/>
    <n v="0"/>
  </r>
  <r>
    <x v="1"/>
    <x v="225"/>
    <n v="0"/>
  </r>
  <r>
    <x v="13"/>
    <x v="226"/>
    <n v="0"/>
  </r>
  <r>
    <x v="4"/>
    <x v="227"/>
    <n v="0"/>
  </r>
  <r>
    <x v="4"/>
    <x v="228"/>
    <n v="0"/>
  </r>
  <r>
    <x v="1"/>
    <x v="229"/>
    <n v="91.453229398663694"/>
  </r>
  <r>
    <x v="9"/>
    <x v="230"/>
    <n v="98.969933184855222"/>
  </r>
  <r>
    <x v="5"/>
    <x v="231"/>
    <n v="0"/>
  </r>
  <r>
    <x v="8"/>
    <x v="232"/>
    <n v="98.273942093541194"/>
  </r>
  <r>
    <x v="7"/>
    <x v="233"/>
    <n v="88.669265033407569"/>
  </r>
  <r>
    <x v="5"/>
    <x v="234"/>
    <n v="0"/>
  </r>
  <r>
    <x v="13"/>
    <x v="235"/>
    <n v="0"/>
  </r>
  <r>
    <x v="14"/>
    <x v="236"/>
    <n v="0"/>
  </r>
  <r>
    <x v="14"/>
    <x v="237"/>
    <n v="0"/>
  </r>
  <r>
    <x v="9"/>
    <x v="238"/>
    <n v="96.742761692650319"/>
  </r>
  <r>
    <x v="5"/>
    <x v="239"/>
    <n v="82.683741648106917"/>
  </r>
  <r>
    <x v="4"/>
    <x v="240"/>
    <n v="0"/>
  </r>
  <r>
    <x v="5"/>
    <x v="241"/>
    <n v="96.603563474387528"/>
  </r>
  <r>
    <x v="14"/>
    <x v="242"/>
    <n v="0"/>
  </r>
  <r>
    <x v="7"/>
    <x v="243"/>
    <n v="92.010022271714902"/>
  </r>
  <r>
    <x v="5"/>
    <x v="244"/>
    <n v="67.093541202672597"/>
  </r>
  <r>
    <x v="6"/>
    <x v="245"/>
    <n v="97.717149220489958"/>
  </r>
  <r>
    <x v="7"/>
    <x v="246"/>
    <n v="87.694877505567931"/>
  </r>
  <r>
    <x v="5"/>
    <x v="176"/>
    <n v="100"/>
  </r>
  <r>
    <x v="14"/>
    <x v="247"/>
    <n v="0"/>
  </r>
  <r>
    <x v="9"/>
    <x v="248"/>
    <n v="0"/>
  </r>
  <r>
    <x v="14"/>
    <x v="249"/>
    <n v="0"/>
  </r>
  <r>
    <x v="6"/>
    <x v="250"/>
    <n v="92.566815144766139"/>
  </r>
  <r>
    <x v="13"/>
    <x v="251"/>
    <n v="0"/>
  </r>
  <r>
    <x v="14"/>
    <x v="252"/>
    <n v="0"/>
  </r>
  <r>
    <x v="1"/>
    <x v="253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3">
  <r>
    <x v="0"/>
    <x v="0"/>
    <n v="96.061269146608325"/>
  </r>
  <r>
    <x v="0"/>
    <x v="1"/>
    <n v="100"/>
  </r>
  <r>
    <x v="1"/>
    <x v="2"/>
    <n v="96.717724288840273"/>
  </r>
  <r>
    <x v="1"/>
    <x v="3"/>
    <n v="49.963530269876003"/>
  </r>
  <r>
    <x v="1"/>
    <x v="4"/>
    <n v="35.448577680525169"/>
  </r>
  <r>
    <x v="1"/>
    <x v="5"/>
    <n v="33.187454412837347"/>
  </r>
  <r>
    <x v="1"/>
    <x v="6"/>
    <n v="32.603938730853393"/>
  </r>
  <r>
    <x v="2"/>
    <x v="7"/>
    <n v="98.78183831672203"/>
  </r>
  <r>
    <x v="1"/>
    <x v="8"/>
    <n v="97.231450719822803"/>
  </r>
  <r>
    <x v="1"/>
    <x v="9"/>
    <n v="89.922480620155028"/>
  </r>
  <r>
    <x v="3"/>
    <x v="10"/>
    <n v="100"/>
  </r>
  <r>
    <x v="1"/>
    <x v="11"/>
    <n v="97.342192691029894"/>
  </r>
  <r>
    <x v="1"/>
    <x v="12"/>
    <n v="0"/>
  </r>
  <r>
    <x v="4"/>
    <x v="13"/>
    <n v="0"/>
  </r>
  <r>
    <x v="5"/>
    <x v="14"/>
    <n v="95.679567956795694"/>
  </r>
  <r>
    <x v="1"/>
    <x v="15"/>
    <n v="99.819981998199822"/>
  </r>
  <r>
    <x v="1"/>
    <x v="16"/>
    <n v="81.188118811881196"/>
  </r>
  <r>
    <x v="6"/>
    <x v="17"/>
    <n v="97.029702970297052"/>
  </r>
  <r>
    <x v="7"/>
    <x v="18"/>
    <n v="59.135913591359149"/>
  </r>
  <r>
    <x v="3"/>
    <x v="19"/>
    <n v="100"/>
  </r>
  <r>
    <x v="6"/>
    <x v="20"/>
    <n v="89.198919891989206"/>
  </r>
  <r>
    <x v="5"/>
    <x v="21"/>
    <n v="76.147614761476149"/>
  </r>
  <r>
    <x v="8"/>
    <x v="22"/>
    <n v="0"/>
  </r>
  <r>
    <x v="2"/>
    <x v="23"/>
    <n v="40.504050405040502"/>
  </r>
  <r>
    <x v="7"/>
    <x v="24"/>
    <n v="37.443744374437443"/>
  </r>
  <r>
    <x v="7"/>
    <x v="25"/>
    <n v="0"/>
  </r>
  <r>
    <x v="1"/>
    <x v="26"/>
    <n v="0"/>
  </r>
  <r>
    <x v="2"/>
    <x v="27"/>
    <n v="95.595854922279798"/>
  </r>
  <r>
    <x v="2"/>
    <x v="28"/>
    <n v="99.481865284974091"/>
  </r>
  <r>
    <x v="9"/>
    <x v="29"/>
    <n v="95.466321243523296"/>
  </r>
  <r>
    <x v="0"/>
    <x v="30"/>
    <n v="91.45077720207253"/>
  </r>
  <r>
    <x v="1"/>
    <x v="31"/>
    <n v="91.968911917098438"/>
  </r>
  <r>
    <x v="0"/>
    <x v="32"/>
    <n v="100"/>
  </r>
  <r>
    <x v="0"/>
    <x v="33"/>
    <n v="88.082901554404145"/>
  </r>
  <r>
    <x v="1"/>
    <x v="34"/>
    <n v="93.264248704663217"/>
  </r>
  <r>
    <x v="1"/>
    <x v="35"/>
    <n v="95.854922279792746"/>
  </r>
  <r>
    <x v="0"/>
    <x v="36"/>
    <n v="60.103626943005182"/>
  </r>
  <r>
    <x v="5"/>
    <x v="37"/>
    <n v="58.549222797927456"/>
  </r>
  <r>
    <x v="7"/>
    <x v="38"/>
    <n v="80.310880829015531"/>
  </r>
  <r>
    <x v="8"/>
    <x v="39"/>
    <n v="0"/>
  </r>
  <r>
    <x v="2"/>
    <x v="40"/>
    <n v="99.740932642487053"/>
  </r>
  <r>
    <x v="3"/>
    <x v="41"/>
    <n v="95.336787564766837"/>
  </r>
  <r>
    <x v="0"/>
    <x v="42"/>
    <n v="94.818652849740943"/>
  </r>
  <r>
    <x v="0"/>
    <x v="43"/>
    <n v="94.559585492227967"/>
  </r>
  <r>
    <x v="10"/>
    <x v="44"/>
    <n v="0"/>
  </r>
  <r>
    <x v="3"/>
    <x v="45"/>
    <n v="90.414507772020741"/>
  </r>
  <r>
    <x v="7"/>
    <x v="46"/>
    <n v="83.67875647668393"/>
  </r>
  <r>
    <x v="1"/>
    <x v="47"/>
    <n v="0"/>
  </r>
  <r>
    <x v="3"/>
    <x v="48"/>
    <n v="58.290155440414502"/>
  </r>
  <r>
    <x v="7"/>
    <x v="49"/>
    <n v="49.999999999999986"/>
  </r>
  <r>
    <x v="6"/>
    <x v="50"/>
    <n v="0"/>
  </r>
  <r>
    <x v="1"/>
    <x v="51"/>
    <n v="0"/>
  </r>
  <r>
    <x v="7"/>
    <x v="52"/>
    <n v="0"/>
  </r>
  <r>
    <x v="1"/>
    <x v="53"/>
    <n v="100"/>
  </r>
  <r>
    <x v="6"/>
    <x v="54"/>
    <n v="94.193548387096783"/>
  </r>
  <r>
    <x v="9"/>
    <x v="55"/>
    <n v="87.526881720430126"/>
  </r>
  <r>
    <x v="7"/>
    <x v="56"/>
    <n v="81.290322580645167"/>
  </r>
  <r>
    <x v="11"/>
    <x v="57"/>
    <n v="71.18279569892475"/>
  </r>
  <r>
    <x v="1"/>
    <x v="58"/>
    <n v="78.06451612903227"/>
  </r>
  <r>
    <x v="12"/>
    <x v="59"/>
    <n v="72.258064516129053"/>
  </r>
  <r>
    <x v="6"/>
    <x v="20"/>
    <n v="0"/>
  </r>
  <r>
    <x v="12"/>
    <x v="60"/>
    <n v="0"/>
  </r>
  <r>
    <x v="1"/>
    <x v="61"/>
    <n v="45.806451612903231"/>
  </r>
  <r>
    <x v="13"/>
    <x v="62"/>
    <n v="47.096774193548391"/>
  </r>
  <r>
    <x v="7"/>
    <x v="63"/>
    <n v="0"/>
  </r>
  <r>
    <x v="1"/>
    <x v="64"/>
    <n v="0"/>
  </r>
  <r>
    <x v="13"/>
    <x v="65"/>
    <n v="0"/>
  </r>
  <r>
    <x v="8"/>
    <x v="66"/>
    <n v="0"/>
  </r>
  <r>
    <x v="12"/>
    <x v="67"/>
    <n v="98.257372654155489"/>
  </r>
  <r>
    <x v="1"/>
    <x v="68"/>
    <n v="100"/>
  </r>
  <r>
    <x v="9"/>
    <x v="69"/>
    <n v="94.101876675603208"/>
  </r>
  <r>
    <x v="11"/>
    <x v="70"/>
    <n v="91.286863270777459"/>
  </r>
  <r>
    <x v="7"/>
    <x v="71"/>
    <n v="92.359249329758711"/>
  </r>
  <r>
    <x v="1"/>
    <x v="72"/>
    <n v="96.246648793565669"/>
  </r>
  <r>
    <x v="11"/>
    <x v="73"/>
    <n v="91.957104557640761"/>
  </r>
  <r>
    <x v="7"/>
    <x v="74"/>
    <n v="89.544235924932977"/>
  </r>
  <r>
    <x v="6"/>
    <x v="75"/>
    <n v="83.646112600536171"/>
  </r>
  <r>
    <x v="6"/>
    <x v="76"/>
    <n v="85.790884718498646"/>
  </r>
  <r>
    <x v="11"/>
    <x v="77"/>
    <n v="82.573726541554947"/>
  </r>
  <r>
    <x v="5"/>
    <x v="78"/>
    <n v="89.544235924932963"/>
  </r>
  <r>
    <x v="0"/>
    <x v="79"/>
    <n v="80.965147453083105"/>
  </r>
  <r>
    <x v="0"/>
    <x v="80"/>
    <n v="93.163538873994625"/>
  </r>
  <r>
    <x v="9"/>
    <x v="81"/>
    <n v="49.061662198391417"/>
  </r>
  <r>
    <x v="0"/>
    <x v="82"/>
    <n v="31.099195710455756"/>
  </r>
  <r>
    <x v="1"/>
    <x v="83"/>
    <n v="0"/>
  </r>
  <r>
    <x v="13"/>
    <x v="84"/>
    <n v="98.793565683646108"/>
  </r>
  <r>
    <x v="14"/>
    <x v="85"/>
    <n v="97.721179624664884"/>
  </r>
  <r>
    <x v="7"/>
    <x v="86"/>
    <n v="97.050938337801611"/>
  </r>
  <r>
    <x v="1"/>
    <x v="87"/>
    <n v="96.782841823056302"/>
  </r>
  <r>
    <x v="2"/>
    <x v="88"/>
    <n v="95.978552278820359"/>
  </r>
  <r>
    <x v="5"/>
    <x v="89"/>
    <n v="95.308310991957086"/>
  </r>
  <r>
    <x v="1"/>
    <x v="90"/>
    <n v="94.772117962466481"/>
  </r>
  <r>
    <x v="11"/>
    <x v="91"/>
    <n v="94.772117962466481"/>
  </r>
  <r>
    <x v="0"/>
    <x v="92"/>
    <n v="0"/>
  </r>
  <r>
    <x v="12"/>
    <x v="93"/>
    <n v="92.359249329758711"/>
  </r>
  <r>
    <x v="15"/>
    <x v="94"/>
    <n v="0"/>
  </r>
  <r>
    <x v="12"/>
    <x v="95"/>
    <n v="90.482573726541546"/>
  </r>
  <r>
    <x v="11"/>
    <x v="96"/>
    <n v="0"/>
  </r>
  <r>
    <x v="14"/>
    <x v="97"/>
    <n v="90.080428954423581"/>
  </r>
  <r>
    <x v="5"/>
    <x v="98"/>
    <n v="0"/>
  </r>
  <r>
    <x v="7"/>
    <x v="99"/>
    <n v="0"/>
  </r>
  <r>
    <x v="13"/>
    <x v="100"/>
    <n v="89.276139410187653"/>
  </r>
  <r>
    <x v="9"/>
    <x v="101"/>
    <n v="88.60589812332438"/>
  </r>
  <r>
    <x v="1"/>
    <x v="102"/>
    <n v="88.60589812332438"/>
  </r>
  <r>
    <x v="7"/>
    <x v="103"/>
    <n v="86.997319034852552"/>
  </r>
  <r>
    <x v="5"/>
    <x v="104"/>
    <n v="0"/>
  </r>
  <r>
    <x v="2"/>
    <x v="105"/>
    <n v="86.19302949061661"/>
  </r>
  <r>
    <x v="2"/>
    <x v="106"/>
    <n v="85.254691689008027"/>
  </r>
  <r>
    <x v="2"/>
    <x v="107"/>
    <n v="84.718498659517422"/>
  </r>
  <r>
    <x v="11"/>
    <x v="108"/>
    <n v="0"/>
  </r>
  <r>
    <x v="11"/>
    <x v="109"/>
    <n v="73.190348525469147"/>
  </r>
  <r>
    <x v="1"/>
    <x v="110"/>
    <n v="63.136729222520103"/>
  </r>
  <r>
    <x v="1"/>
    <x v="111"/>
    <n v="62.198391420911513"/>
  </r>
  <r>
    <x v="7"/>
    <x v="112"/>
    <n v="58.847184986595181"/>
  </r>
  <r>
    <x v="7"/>
    <x v="113"/>
    <n v="0"/>
  </r>
  <r>
    <x v="6"/>
    <x v="114"/>
    <n v="53.351206434316346"/>
  </r>
  <r>
    <x v="11"/>
    <x v="115"/>
    <n v="48.525469168900791"/>
  </r>
  <r>
    <x v="1"/>
    <x v="116"/>
    <n v="47.98927613941018"/>
  </r>
  <r>
    <x v="10"/>
    <x v="117"/>
    <n v="0"/>
  </r>
  <r>
    <x v="10"/>
    <x v="118"/>
    <n v="0"/>
  </r>
  <r>
    <x v="6"/>
    <x v="119"/>
    <n v="0"/>
  </r>
  <r>
    <x v="0"/>
    <x v="120"/>
    <n v="0"/>
  </r>
  <r>
    <x v="11"/>
    <x v="121"/>
    <n v="0"/>
  </r>
  <r>
    <x v="1"/>
    <x v="122"/>
    <n v="93.026315789473685"/>
  </r>
  <r>
    <x v="1"/>
    <x v="123"/>
    <n v="0"/>
  </r>
  <r>
    <x v="2"/>
    <x v="124"/>
    <n v="0"/>
  </r>
  <r>
    <x v="7"/>
    <x v="125"/>
    <n v="0"/>
  </r>
  <r>
    <x v="7"/>
    <x v="126"/>
    <n v="57.894736842105267"/>
  </r>
  <r>
    <x v="7"/>
    <x v="127"/>
    <n v="89.473684210526315"/>
  </r>
  <r>
    <x v="12"/>
    <x v="128"/>
    <n v="89.736842105263165"/>
  </r>
  <r>
    <x v="12"/>
    <x v="129"/>
    <n v="100"/>
  </r>
  <r>
    <x v="13"/>
    <x v="130"/>
    <n v="63.026315789473685"/>
  </r>
  <r>
    <x v="2"/>
    <x v="131"/>
    <n v="85"/>
  </r>
  <r>
    <x v="2"/>
    <x v="132"/>
    <n v="0"/>
  </r>
  <r>
    <x v="5"/>
    <x v="133"/>
    <n v="85.131578947368425"/>
  </r>
  <r>
    <x v="5"/>
    <x v="134"/>
    <n v="94.473684210526315"/>
  </r>
  <r>
    <x v="6"/>
    <x v="135"/>
    <n v="0"/>
  </r>
  <r>
    <x v="1"/>
    <x v="136"/>
    <n v="0"/>
  </r>
  <r>
    <x v="1"/>
    <x v="137"/>
    <n v="0"/>
  </r>
  <r>
    <x v="15"/>
    <x v="138"/>
    <n v="0"/>
  </r>
  <r>
    <x v="7"/>
    <x v="139"/>
    <n v="0"/>
  </r>
  <r>
    <x v="6"/>
    <x v="140"/>
    <n v="0"/>
  </r>
  <r>
    <x v="5"/>
    <x v="141"/>
    <n v="0"/>
  </r>
  <r>
    <x v="0"/>
    <x v="142"/>
    <n v="98.754669987546691"/>
  </r>
  <r>
    <x v="2"/>
    <x v="143"/>
    <n v="99.875466998754675"/>
  </r>
  <r>
    <x v="2"/>
    <x v="144"/>
    <n v="100"/>
  </r>
  <r>
    <x v="1"/>
    <x v="145"/>
    <n v="94.271481942714829"/>
  </r>
  <r>
    <x v="1"/>
    <x v="146"/>
    <n v="94.271481942714829"/>
  </r>
  <r>
    <x v="5"/>
    <x v="147"/>
    <n v="90.535491905354931"/>
  </r>
  <r>
    <x v="5"/>
    <x v="148"/>
    <n v="89.663760896637612"/>
  </r>
  <r>
    <x v="9"/>
    <x v="149"/>
    <n v="82.440846824408482"/>
  </r>
  <r>
    <x v="6"/>
    <x v="150"/>
    <n v="82.067247820672478"/>
  </r>
  <r>
    <x v="6"/>
    <x v="151"/>
    <n v="79.202988792029899"/>
  </r>
  <r>
    <x v="7"/>
    <x v="152"/>
    <n v="63.013698630136986"/>
  </r>
  <r>
    <x v="9"/>
    <x v="153"/>
    <n v="73.972602739726028"/>
  </r>
  <r>
    <x v="5"/>
    <x v="154"/>
    <n v="89.414694894146947"/>
  </r>
  <r>
    <x v="5"/>
    <x v="155"/>
    <n v="90.535491905354931"/>
  </r>
  <r>
    <x v="12"/>
    <x v="156"/>
    <n v="86.924034869240359"/>
  </r>
  <r>
    <x v="7"/>
    <x v="157"/>
    <n v="83.437110834371111"/>
  </r>
  <r>
    <x v="5"/>
    <x v="158"/>
    <n v="74.595267745952668"/>
  </r>
  <r>
    <x v="5"/>
    <x v="159"/>
    <n v="58.530510585305109"/>
  </r>
  <r>
    <x v="5"/>
    <x v="160"/>
    <n v="83.561643835616437"/>
  </r>
  <r>
    <x v="6"/>
    <x v="161"/>
    <n v="49.813200498132005"/>
  </r>
  <r>
    <x v="2"/>
    <x v="162"/>
    <n v="59.153175591531756"/>
  </r>
  <r>
    <x v="2"/>
    <x v="106"/>
    <n v="0"/>
  </r>
  <r>
    <x v="15"/>
    <x v="163"/>
    <n v="0"/>
  </r>
  <r>
    <x v="12"/>
    <x v="164"/>
    <n v="0"/>
  </r>
  <r>
    <x v="1"/>
    <x v="165"/>
    <n v="98.879202988792031"/>
  </r>
  <r>
    <x v="1"/>
    <x v="166"/>
    <n v="97.882938978829387"/>
  </r>
  <r>
    <x v="7"/>
    <x v="167"/>
    <n v="30.136986301369863"/>
  </r>
  <r>
    <x v="12"/>
    <x v="168"/>
    <n v="96.886674968866771"/>
  </r>
  <r>
    <x v="7"/>
    <x v="169"/>
    <n v="96.637608966376092"/>
  </r>
  <r>
    <x v="1"/>
    <x v="170"/>
    <n v="67.372353673723538"/>
  </r>
  <r>
    <x v="2"/>
    <x v="105"/>
    <n v="0"/>
  </r>
  <r>
    <x v="0"/>
    <x v="171"/>
    <n v="94.396014943960168"/>
  </r>
  <r>
    <x v="7"/>
    <x v="172"/>
    <n v="94.396014943960154"/>
  </r>
  <r>
    <x v="1"/>
    <x v="173"/>
    <n v="93.64881693648816"/>
  </r>
  <r>
    <x v="9"/>
    <x v="174"/>
    <n v="0"/>
  </r>
  <r>
    <x v="10"/>
    <x v="175"/>
    <n v="0"/>
  </r>
  <r>
    <x v="5"/>
    <x v="176"/>
    <n v="92.90161892901618"/>
  </r>
  <r>
    <x v="1"/>
    <x v="177"/>
    <n v="90.909090909090921"/>
  </r>
  <r>
    <x v="7"/>
    <x v="178"/>
    <n v="89.788293897882937"/>
  </r>
  <r>
    <x v="1"/>
    <x v="179"/>
    <n v="89.414694894146962"/>
  </r>
  <r>
    <x v="6"/>
    <x v="180"/>
    <n v="88.916562889165647"/>
  </r>
  <r>
    <x v="2"/>
    <x v="181"/>
    <n v="0"/>
  </r>
  <r>
    <x v="1"/>
    <x v="182"/>
    <n v="88.542963885429643"/>
  </r>
  <r>
    <x v="7"/>
    <x v="113"/>
    <n v="88.169364881693639"/>
  </r>
  <r>
    <x v="4"/>
    <x v="183"/>
    <n v="87.920298879202988"/>
  </r>
  <r>
    <x v="1"/>
    <x v="111"/>
    <n v="0"/>
  </r>
  <r>
    <x v="15"/>
    <x v="184"/>
    <n v="0"/>
  </r>
  <r>
    <x v="5"/>
    <x v="185"/>
    <n v="84.68244084682442"/>
  </r>
  <r>
    <x v="5"/>
    <x v="186"/>
    <n v="0"/>
  </r>
  <r>
    <x v="6"/>
    <x v="114"/>
    <n v="0"/>
  </r>
  <r>
    <x v="11"/>
    <x v="187"/>
    <n v="42.34122042341221"/>
  </r>
  <r>
    <x v="3"/>
    <x v="188"/>
    <n v="78.953922789539234"/>
  </r>
  <r>
    <x v="1"/>
    <x v="189"/>
    <n v="76.836861768368621"/>
  </r>
  <r>
    <x v="7"/>
    <x v="190"/>
    <n v="75.965130759651316"/>
  </r>
  <r>
    <x v="6"/>
    <x v="191"/>
    <n v="0"/>
  </r>
  <r>
    <x v="3"/>
    <x v="192"/>
    <n v="73.848069738480703"/>
  </r>
  <r>
    <x v="14"/>
    <x v="193"/>
    <n v="71.481942714819439"/>
  </r>
  <r>
    <x v="5"/>
    <x v="194"/>
    <n v="0"/>
  </r>
  <r>
    <x v="6"/>
    <x v="119"/>
    <n v="0"/>
  </r>
  <r>
    <x v="15"/>
    <x v="195"/>
    <n v="0"/>
  </r>
  <r>
    <x v="12"/>
    <x v="196"/>
    <n v="60.273972602739732"/>
  </r>
  <r>
    <x v="7"/>
    <x v="197"/>
    <n v="58.655043586550434"/>
  </r>
  <r>
    <x v="1"/>
    <x v="198"/>
    <n v="57.285180572851814"/>
  </r>
  <r>
    <x v="3"/>
    <x v="199"/>
    <n v="56.911581569115825"/>
  </r>
  <r>
    <x v="6"/>
    <x v="200"/>
    <n v="55.292652552926533"/>
  </r>
  <r>
    <x v="1"/>
    <x v="201"/>
    <n v="53.673723536737242"/>
  </r>
  <r>
    <x v="12"/>
    <x v="202"/>
    <n v="0"/>
  </r>
  <r>
    <x v="7"/>
    <x v="203"/>
    <n v="0"/>
  </r>
  <r>
    <x v="11"/>
    <x v="204"/>
    <n v="0"/>
  </r>
  <r>
    <x v="8"/>
    <x v="205"/>
    <n v="0"/>
  </r>
  <r>
    <x v="2"/>
    <x v="206"/>
    <n v="0"/>
  </r>
  <r>
    <x v="1"/>
    <x v="207"/>
    <n v="0"/>
  </r>
  <r>
    <x v="2"/>
    <x v="208"/>
    <n v="0"/>
  </r>
  <r>
    <x v="7"/>
    <x v="209"/>
    <n v="0"/>
  </r>
  <r>
    <x v="8"/>
    <x v="210"/>
    <n v="0"/>
  </r>
  <r>
    <x v="5"/>
    <x v="211"/>
    <n v="94.342507645259928"/>
  </r>
  <r>
    <x v="5"/>
    <x v="212"/>
    <n v="0"/>
  </r>
  <r>
    <x v="4"/>
    <x v="213"/>
    <n v="100"/>
  </r>
  <r>
    <x v="15"/>
    <x v="214"/>
    <n v="0"/>
  </r>
  <r>
    <x v="14"/>
    <x v="215"/>
    <n v="95.412844036697251"/>
  </r>
  <r>
    <x v="14"/>
    <x v="216"/>
    <n v="88.685015290519871"/>
  </r>
  <r>
    <x v="5"/>
    <x v="217"/>
    <n v="0"/>
  </r>
  <r>
    <x v="14"/>
    <x v="218"/>
    <n v="87.155963302752284"/>
  </r>
  <r>
    <x v="6"/>
    <x v="219"/>
    <n v="90.083798882681577"/>
  </r>
  <r>
    <x v="7"/>
    <x v="220"/>
    <n v="89.664804469273733"/>
  </r>
  <r>
    <x v="1"/>
    <x v="221"/>
    <n v="88.128491620111731"/>
  </r>
  <r>
    <x v="5"/>
    <x v="222"/>
    <n v="86.312849162011176"/>
  </r>
  <r>
    <x v="5"/>
    <x v="223"/>
    <n v="82.402234636871512"/>
  </r>
  <r>
    <x v="5"/>
    <x v="224"/>
    <n v="76.955307262569832"/>
  </r>
  <r>
    <x v="6"/>
    <x v="225"/>
    <n v="91.759776536312842"/>
  </r>
  <r>
    <x v="4"/>
    <x v="226"/>
    <n v="100"/>
  </r>
  <r>
    <x v="6"/>
    <x v="180"/>
    <n v="0"/>
  </r>
  <r>
    <x v="14"/>
    <x v="227"/>
    <n v="99.720670391061475"/>
  </r>
  <r>
    <x v="9"/>
    <x v="228"/>
    <n v="0"/>
  </r>
  <r>
    <x v="8"/>
    <x v="229"/>
    <n v="0"/>
  </r>
  <r>
    <x v="7"/>
    <x v="230"/>
    <n v="0"/>
  </r>
  <r>
    <x v="9"/>
    <x v="231"/>
    <n v="0"/>
  </r>
  <r>
    <x v="1"/>
    <x v="232"/>
    <n v="95.530726256983257"/>
  </r>
  <r>
    <x v="14"/>
    <x v="233"/>
    <n v="94.553072625698334"/>
  </r>
  <r>
    <x v="7"/>
    <x v="197"/>
    <n v="0"/>
  </r>
  <r>
    <x v="14"/>
    <x v="234"/>
    <n v="93.296089385474872"/>
  </r>
  <r>
    <x v="7"/>
    <x v="235"/>
    <n v="0"/>
  </r>
  <r>
    <x v="12"/>
    <x v="236"/>
    <n v="92.318435754189949"/>
  </r>
  <r>
    <x v="14"/>
    <x v="237"/>
    <n v="91.34078212290504"/>
  </r>
  <r>
    <x v="6"/>
    <x v="238"/>
    <n v="88.826815642458115"/>
  </r>
  <r>
    <x v="1"/>
    <x v="239"/>
    <n v="87.290502793296113"/>
  </r>
  <r>
    <x v="4"/>
    <x v="240"/>
    <n v="82.821229050279328"/>
  </r>
  <r>
    <x v="6"/>
    <x v="241"/>
    <n v="0"/>
  </r>
  <r>
    <x v="3"/>
    <x v="242"/>
    <n v="81.983240223463696"/>
  </r>
  <r>
    <x v="14"/>
    <x v="243"/>
    <n v="81.424581005586589"/>
  </r>
  <r>
    <x v="1"/>
    <x v="244"/>
    <n v="81.424581005586589"/>
  </r>
  <r>
    <x v="4"/>
    <x v="245"/>
    <n v="81.005586592178787"/>
  </r>
  <r>
    <x v="14"/>
    <x v="246"/>
    <n v="80.86592178770951"/>
  </r>
  <r>
    <x v="12"/>
    <x v="247"/>
    <n v="80.86592178770951"/>
  </r>
  <r>
    <x v="12"/>
    <x v="248"/>
    <n v="76.815642458100555"/>
  </r>
  <r>
    <x v="6"/>
    <x v="249"/>
    <n v="76.536312849162016"/>
  </r>
  <r>
    <x v="3"/>
    <x v="250"/>
    <n v="72.625698324022352"/>
  </r>
  <r>
    <x v="3"/>
    <x v="251"/>
    <n v="69.55307262569832"/>
  </r>
  <r>
    <x v="6"/>
    <x v="252"/>
    <n v="0"/>
  </r>
  <r>
    <x v="4"/>
    <x v="25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A509F1-DAB1-AC40-84BE-3E5CF0D9CC2E}" name="PivotTable3" cacheId="80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J45:JD62" firstHeaderRow="1" firstDataRow="2" firstDataCol="1"/>
  <pivotFields count="3">
    <pivotField axis="axisRow" showAll="0">
      <items count="17">
        <item x="10"/>
        <item x="11"/>
        <item x="1"/>
        <item x="13"/>
        <item x="15"/>
        <item x="6"/>
        <item x="5"/>
        <item x="2"/>
        <item x="0"/>
        <item x="8"/>
        <item x="7"/>
        <item x="9"/>
        <item x="3"/>
        <item x="4"/>
        <item x="12"/>
        <item x="14"/>
        <item t="default"/>
      </items>
    </pivotField>
    <pivotField axis="axisCol" showAll="0">
      <items count="256">
        <item x="113"/>
        <item x="33"/>
        <item x="122"/>
        <item x="79"/>
        <item x="114"/>
        <item x="154"/>
        <item x="21"/>
        <item x="123"/>
        <item x="12"/>
        <item x="110"/>
        <item x="44"/>
        <item x="142"/>
        <item x="124"/>
        <item x="115"/>
        <item x="88"/>
        <item x="72"/>
        <item x="0"/>
        <item x="55"/>
        <item x="64"/>
        <item x="156"/>
        <item x="1"/>
        <item x="150"/>
        <item x="48"/>
        <item x="105"/>
        <item x="126"/>
        <item x="49"/>
        <item x="16"/>
        <item x="24"/>
        <item x="90"/>
        <item x="127"/>
        <item x="128"/>
        <item x="43"/>
        <item x="91"/>
        <item x="9"/>
        <item x="37"/>
        <item x="46"/>
        <item x="116"/>
        <item x="86"/>
        <item x="161"/>
        <item x="117"/>
        <item x="81"/>
        <item x="50"/>
        <item x="3"/>
        <item x="4"/>
        <item x="129"/>
        <item x="39"/>
        <item x="118"/>
        <item x="25"/>
        <item x="18"/>
        <item x="130"/>
        <item x="119"/>
        <item x="146"/>
        <item x="120"/>
        <item x="23"/>
        <item x="5"/>
        <item x="63"/>
        <item x="17"/>
        <item x="56"/>
        <item x="59"/>
        <item x="131"/>
        <item x="51"/>
        <item x="80"/>
        <item x="78"/>
        <item x="145"/>
        <item x="26"/>
        <item x="53"/>
        <item x="62"/>
        <item x="132"/>
        <item x="111"/>
        <item x="27"/>
        <item x="20"/>
        <item x="94"/>
        <item x="34"/>
        <item x="112"/>
        <item x="7"/>
        <item x="70"/>
        <item x="85"/>
        <item x="15"/>
        <item x="153"/>
        <item x="135"/>
        <item x="28"/>
        <item x="151"/>
        <item x="136"/>
        <item x="41"/>
        <item x="103"/>
        <item x="137"/>
        <item x="47"/>
        <item x="138"/>
        <item x="139"/>
        <item x="93"/>
        <item x="82"/>
        <item x="68"/>
        <item x="65"/>
        <item x="35"/>
        <item x="140"/>
        <item x="52"/>
        <item x="121"/>
        <item x="57"/>
        <item x="58"/>
        <item x="42"/>
        <item x="6"/>
        <item x="67"/>
        <item x="66"/>
        <item x="147"/>
        <item x="2"/>
        <item x="8"/>
        <item x="10"/>
        <item x="11"/>
        <item x="13"/>
        <item x="14"/>
        <item x="19"/>
        <item x="22"/>
        <item x="29"/>
        <item x="30"/>
        <item x="31"/>
        <item x="32"/>
        <item x="36"/>
        <item x="40"/>
        <item x="45"/>
        <item x="54"/>
        <item x="60"/>
        <item x="61"/>
        <item x="69"/>
        <item x="71"/>
        <item x="73"/>
        <item x="74"/>
        <item x="75"/>
        <item x="76"/>
        <item x="77"/>
        <item x="83"/>
        <item x="84"/>
        <item x="87"/>
        <item x="89"/>
        <item x="92"/>
        <item x="95"/>
        <item x="96"/>
        <item x="97"/>
        <item x="98"/>
        <item x="99"/>
        <item x="100"/>
        <item x="101"/>
        <item x="102"/>
        <item x="104"/>
        <item x="106"/>
        <item x="107"/>
        <item x="108"/>
        <item x="109"/>
        <item x="125"/>
        <item x="133"/>
        <item x="134"/>
        <item x="141"/>
        <item x="143"/>
        <item x="144"/>
        <item x="148"/>
        <item x="149"/>
        <item x="152"/>
        <item x="155"/>
        <item x="157"/>
        <item x="158"/>
        <item x="159"/>
        <item x="160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m="1" x="254"/>
        <item x="38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1">
    <field x="1"/>
  </colFields>
  <colItems count="2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4"/>
    </i>
  </colItems>
  <dataFields count="1">
    <dataField name="Sum of AA Comp 1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42BB70-1BEE-554D-9442-D8092225EE51}" name="PivotTable5" cacheId="80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J67:JD84" firstHeaderRow="1" firstDataRow="2" firstDataCol="1"/>
  <pivotFields count="3">
    <pivotField axis="axisRow" showAll="0">
      <items count="17">
        <item x="10"/>
        <item x="11"/>
        <item x="1"/>
        <item x="12"/>
        <item x="15"/>
        <item x="7"/>
        <item x="6"/>
        <item x="2"/>
        <item x="0"/>
        <item x="8"/>
        <item x="5"/>
        <item x="9"/>
        <item x="3"/>
        <item x="4"/>
        <item x="13"/>
        <item x="14"/>
        <item t="default"/>
      </items>
    </pivotField>
    <pivotField axis="axisCol" showAll="0">
      <items count="256">
        <item x="96"/>
        <item x="49"/>
        <item x="126"/>
        <item x="119"/>
        <item x="94"/>
        <item x="145"/>
        <item x="14"/>
        <item x="139"/>
        <item x="9"/>
        <item x="104"/>
        <item x="31"/>
        <item x="152"/>
        <item x="197"/>
        <item x="135"/>
        <item x="92"/>
        <item x="111"/>
        <item x="69"/>
        <item x="0"/>
        <item x="53"/>
        <item x="66"/>
        <item x="170"/>
        <item x="1"/>
        <item x="149"/>
        <item x="50"/>
        <item x="67"/>
        <item x="140"/>
        <item x="44"/>
        <item x="20"/>
        <item x="26"/>
        <item x="80"/>
        <item x="132"/>
        <item x="127"/>
        <item x="35"/>
        <item x="79"/>
        <item x="12"/>
        <item x="30"/>
        <item x="34"/>
        <item x="113"/>
        <item x="102"/>
        <item x="146"/>
        <item x="99"/>
        <item x="75"/>
        <item x="47"/>
        <item x="3"/>
        <item x="5"/>
        <item x="141"/>
        <item x="36"/>
        <item x="117"/>
        <item x="25"/>
        <item x="18"/>
        <item x="131"/>
        <item x="121"/>
        <item x="157"/>
        <item x="118"/>
        <item x="16"/>
        <item x="2"/>
        <item x="54"/>
        <item x="15"/>
        <item x="61"/>
        <item x="55"/>
        <item x="129"/>
        <item x="39"/>
        <item x="76"/>
        <item x="114"/>
        <item x="167"/>
        <item x="22"/>
        <item x="56"/>
        <item x="59"/>
        <item x="123"/>
        <item x="108"/>
        <item x="27"/>
        <item x="24"/>
        <item x="70"/>
        <item x="38"/>
        <item x="83"/>
        <item x="7"/>
        <item x="105"/>
        <item x="72"/>
        <item x="17"/>
        <item x="142"/>
        <item x="138"/>
        <item x="28"/>
        <item x="153"/>
        <item x="134"/>
        <item x="32"/>
        <item x="71"/>
        <item x="133"/>
        <item x="29"/>
        <item x="128"/>
        <item x="136"/>
        <item x="82"/>
        <item x="68"/>
        <item x="88"/>
        <item x="60"/>
        <item x="37"/>
        <item x="137"/>
        <item x="52"/>
        <item x="98"/>
        <item x="58"/>
        <item x="57"/>
        <item x="33"/>
        <item x="4"/>
        <item x="106"/>
        <item x="63"/>
        <item x="6"/>
        <item x="10"/>
        <item x="8"/>
        <item x="11"/>
        <item x="13"/>
        <item x="23"/>
        <item x="19"/>
        <item x="21"/>
        <item x="40"/>
        <item x="41"/>
        <item x="45"/>
        <item x="48"/>
        <item x="46"/>
        <item x="42"/>
        <item x="51"/>
        <item x="64"/>
        <item x="62"/>
        <item x="65"/>
        <item x="107"/>
        <item x="101"/>
        <item x="81"/>
        <item x="84"/>
        <item x="100"/>
        <item x="85"/>
        <item x="97"/>
        <item x="90"/>
        <item x="116"/>
        <item x="110"/>
        <item x="87"/>
        <item x="120"/>
        <item x="77"/>
        <item x="91"/>
        <item x="73"/>
        <item x="109"/>
        <item x="115"/>
        <item x="74"/>
        <item x="86"/>
        <item x="103"/>
        <item x="112"/>
        <item x="95"/>
        <item x="93"/>
        <item x="78"/>
        <item x="89"/>
        <item x="122"/>
        <item x="124"/>
        <item x="125"/>
        <item x="130"/>
        <item x="172"/>
        <item x="178"/>
        <item x="169"/>
        <item x="190"/>
        <item x="171"/>
        <item x="173"/>
        <item x="166"/>
        <item x="201"/>
        <item x="189"/>
        <item x="182"/>
        <item x="177"/>
        <item x="165"/>
        <item x="198"/>
        <item x="179"/>
        <item x="192"/>
        <item x="199"/>
        <item x="188"/>
        <item x="187"/>
        <item x="183"/>
        <item x="168"/>
        <item x="156"/>
        <item x="196"/>
        <item x="150"/>
        <item x="200"/>
        <item x="180"/>
        <item x="161"/>
        <item x="151"/>
        <item x="160"/>
        <item x="155"/>
        <item x="158"/>
        <item x="148"/>
        <item x="159"/>
        <item x="147"/>
        <item x="154"/>
        <item x="185"/>
        <item x="176"/>
        <item x="143"/>
        <item x="162"/>
        <item x="144"/>
        <item x="193"/>
        <item x="205"/>
        <item x="194"/>
        <item x="175"/>
        <item x="206"/>
        <item x="184"/>
        <item x="164"/>
        <item x="181"/>
        <item x="207"/>
        <item x="202"/>
        <item x="204"/>
        <item x="195"/>
        <item x="191"/>
        <item x="208"/>
        <item x="209"/>
        <item x="210"/>
        <item x="186"/>
        <item x="163"/>
        <item x="174"/>
        <item x="203"/>
        <item x="211"/>
        <item x="212"/>
        <item x="217"/>
        <item x="214"/>
        <item x="218"/>
        <item x="216"/>
        <item x="215"/>
        <item x="213"/>
        <item x="242"/>
        <item x="251"/>
        <item x="250"/>
        <item x="238"/>
        <item x="220"/>
        <item x="245"/>
        <item x="232"/>
        <item x="247"/>
        <item x="253"/>
        <item x="226"/>
        <item x="221"/>
        <item x="228"/>
        <item x="252"/>
        <item x="229"/>
        <item x="223"/>
        <item x="249"/>
        <item x="236"/>
        <item x="237"/>
        <item x="234"/>
        <item x="231"/>
        <item x="241"/>
        <item x="240"/>
        <item x="219"/>
        <item x="227"/>
        <item x="222"/>
        <item x="225"/>
        <item x="230"/>
        <item x="224"/>
        <item x="243"/>
        <item m="1" x="254"/>
        <item x="246"/>
        <item x="235"/>
        <item x="248"/>
        <item x="233"/>
        <item x="239"/>
        <item x="244"/>
        <item x="43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1">
    <field x="1"/>
  </colFields>
  <colItems count="2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8"/>
    </i>
    <i>
      <x v="249"/>
    </i>
    <i>
      <x v="250"/>
    </i>
    <i>
      <x v="251"/>
    </i>
    <i>
      <x v="252"/>
    </i>
    <i>
      <x v="253"/>
    </i>
    <i>
      <x v="254"/>
    </i>
  </colItems>
  <dataFields count="1">
    <dataField name="Sum of AA Comp 2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311FFFF-0CD1-4544-ABD8-31C7043C1C0C}" name="Table1" displayName="Table1" ref="J4:W20" totalsRowShown="0">
  <autoFilter ref="J4:W20" xr:uid="{B4D5D523-747D-469C-833C-D867E27303C7}"/>
  <tableColumns count="14">
    <tableColumn id="1" xr3:uid="{FFAB76DB-6D45-484D-AB12-5CC37B5F32C0}" name="University">
      <calculatedColumnFormula>J47</calculatedColumnFormula>
    </tableColumn>
    <tableColumn id="2" xr3:uid="{BE0E3ABD-A584-C748-998B-24F320D0A7A2}" name="Score 1" dataDxfId="317">
      <calculatedColumnFormula>IFERROR(IF(LARGE(K47:JD47, 1), LARGE(K47:JD47, 1),"n/a"), "")</calculatedColumnFormula>
    </tableColumn>
    <tableColumn id="3" xr3:uid="{695BCA08-B97F-A642-96F8-38359772ABBC}" name="Score 2" dataDxfId="316">
      <calculatedColumnFormula>IFERROR(IF(LARGE(K47:JD47, 2), LARGE(K47:JD47,2),"n/a"), "")</calculatedColumnFormula>
    </tableColumn>
    <tableColumn id="4" xr3:uid="{B68DF4A3-3A8F-3849-BD84-451FF3A4E217}" name="Score 3" dataDxfId="315">
      <calculatedColumnFormula>IFERROR(IF(LARGE(K47:FP47, 3), LARGE(K47:FP47,3),"n/a"), "")</calculatedColumnFormula>
    </tableColumn>
    <tableColumn id="5" xr3:uid="{B3FB5B11-420D-984B-92EB-C5063FFF6AF2}" name="Score 4" dataDxfId="314">
      <calculatedColumnFormula>IFERROR(IF(LARGE(K47:FP47, 4), LARGE(K47:FP47,4),"n/a"), "")</calculatedColumnFormula>
    </tableColumn>
    <tableColumn id="9" xr3:uid="{7051AAA0-F6A3-3E4A-A62A-7D66DA22178A}" name="Score 5" dataDxfId="313">
      <calculatedColumnFormula>IFERROR(IF(LARGE(K47:JD47, 5), LARGE(K47:JD47,5),"n/a"), "")</calculatedColumnFormula>
    </tableColumn>
    <tableColumn id="12" xr3:uid="{D172610E-22C5-B848-928A-3DA01CCE80A5}" name="Score 6" dataDxfId="312">
      <calculatedColumnFormula>IFERROR(IF(LARGE(K47:JD47, 6), LARGE(K47:JD47,6),"n/a"), "")</calculatedColumnFormula>
    </tableColumn>
    <tableColumn id="11" xr3:uid="{45555475-C3E1-3D4A-9432-8A156527CB60}" name="Score 7" dataDxfId="311">
      <calculatedColumnFormula>IFERROR(IF(LARGE(K47:JD47, 7), LARGE(K47:JD47,7),"n/a"), "")</calculatedColumnFormula>
    </tableColumn>
    <tableColumn id="10" xr3:uid="{6067D0C3-83AA-814B-A4F1-B2815818D45D}" name="Score 8" dataDxfId="310">
      <calculatedColumnFormula>IFERROR(IF(LARGE(K47:JD47, 8), LARGE(K47:JD47,8),"n/a"), "")</calculatedColumnFormula>
    </tableColumn>
    <tableColumn id="8" xr3:uid="{48868CAB-85D7-6544-A2FB-E795404FD63C}" name="Score 9" dataDxfId="309">
      <calculatedColumnFormula>IFERROR(IF(LARGE(K47:JD47, 9), LARGE(K47:JD47,9),"n/a"), "")</calculatedColumnFormula>
    </tableColumn>
    <tableColumn id="13" xr3:uid="{D303FA5C-B3BA-A448-BBC0-05F1BCBF9543}" name="Score 10" dataDxfId="308">
      <calculatedColumnFormula>IFERROR(IF(LARGE(K47:JD47, 10), LARGE(K47:JD47,10),"n/a"), "")</calculatedColumnFormula>
    </tableColumn>
    <tableColumn id="14" xr3:uid="{18EDB266-338E-DC4D-835A-3FFA0BD2550E}" name="Score 11" dataDxfId="307">
      <calculatedColumnFormula>IFERROR(IF(LARGE(K47:JD47, 11), LARGE(K47:JD47,11),"n/a"), "")</calculatedColumnFormula>
    </tableColumn>
    <tableColumn id="6" xr3:uid="{10B024E6-36F0-8645-9AC4-135C3A74431D}" name="Comp 1 Total" dataDxfId="306">
      <calculatedColumnFormula>SUM(Table1[[#This Row],[Score 1]:[Score 11]])</calculatedColumnFormula>
    </tableColumn>
    <tableColumn id="7" xr3:uid="{71A0AC23-16F4-C346-BFDB-D1E1B9F876A5}" name="Position" dataDxfId="305">
      <calculatedColumnFormula>RANK(V5, V$5:V$20,0)</calculatedColumnFormula>
    </tableColumn>
  </tableColumns>
  <tableStyleInfo name="TableStyleMedium1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463C5D-0DEA-E34E-97E6-F88D118438CF}" name="ADVPWAG" displayName="ADVPWAG" ref="A1:W27" totalsRowShown="0" headerRowDxfId="135">
  <autoFilter ref="A1:W27" xr:uid="{A3F3353F-AA07-6D4B-80CE-1C1E69B020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27">
    <sortCondition ref="W1:W27"/>
  </sortState>
  <tableColumns count="23">
    <tableColumn id="1" xr3:uid="{B7174262-1FD9-3549-8EDD-B47D29002F0A}" name="Number" dataDxfId="134"/>
    <tableColumn id="2" xr3:uid="{2AC2C8C9-7177-864D-B4F6-7ADBA2424CD2}" name="University / Institution" dataDxfId="133"/>
    <tableColumn id="3" xr3:uid="{4261B164-41A2-614F-A504-C66F40AC3D8D}" name="Name" dataDxfId="132"/>
    <tableColumn id="4" xr3:uid="{636872CB-A09D-AF41-86D3-B55BEF742DBE}" name="FX Comp 1"/>
    <tableColumn id="5" xr3:uid="{99E25E29-5771-E743-8EBA-12D3C2E2513F}" name="FX Comp 2"/>
    <tableColumn id="8" xr3:uid="{D1D00A83-D1E4-3B47-9D67-C355C6871343}" name="FX League Total" dataDxfId="131">
      <calculatedColumnFormula>ADVPWAG[[#This Row],[FX Comp 1]]+ADVPWAG[[#This Row],[FX Comp 2]]</calculatedColumnFormula>
    </tableColumn>
    <tableColumn id="9" xr3:uid="{87ACEB44-E2E0-F14A-9D22-DDE3C1EF22BB}" name="FX Ranking" dataDxfId="130">
      <calculatedColumnFormula>RANK(ADVPWAG[[#This Row],[FX League Total]],ADVPWAG[FX League Total], 0)</calculatedColumnFormula>
    </tableColumn>
    <tableColumn id="10" xr3:uid="{38F9D687-DD5F-154E-872C-9EE01A4D6668}" name="BB Comp 1"/>
    <tableColumn id="11" xr3:uid="{F7071698-E4D0-B143-BB70-AE6DB0105136}" name="BB Comp 2"/>
    <tableColumn id="14" xr3:uid="{A53F31C7-0021-A343-930C-29418A0F86B4}" name="BB League Total" dataDxfId="129">
      <calculatedColumnFormula>ADVPWAG[[#This Row],[BB Comp 1]]+ADVPWAG[[#This Row],[BB Comp 2]]</calculatedColumnFormula>
    </tableColumn>
    <tableColumn id="15" xr3:uid="{CEEB24AA-AEF1-4D4D-B139-AA702B60AE79}" name="BB Ranking" dataDxfId="128">
      <calculatedColumnFormula>RANK(ADVPWAG[[#This Row],[BB League Total]],ADVPWAG[BB League Total], 0)</calculatedColumnFormula>
    </tableColumn>
    <tableColumn id="16" xr3:uid="{F4377E3E-61E1-9C43-A090-FF737DFDDB3F}" name="UB Comp 1"/>
    <tableColumn id="17" xr3:uid="{F3C59B86-D967-2541-BDB6-798181620245}" name="UB Comp 2"/>
    <tableColumn id="20" xr3:uid="{110ACCB5-FE0B-0546-BEA8-23488B318418}" name="UB League Total" dataDxfId="127">
      <calculatedColumnFormula>ADVPWAG[[#This Row],[UB Comp 1]]+ADVPWAG[[#This Row],[UB Comp 2]]</calculatedColumnFormula>
    </tableColumn>
    <tableColumn id="21" xr3:uid="{2D91A3F2-64EA-574E-A5AD-D582493F207E}" name="UB Ranking" dataDxfId="126">
      <calculatedColumnFormula>RANK(ADVPWAG[[#This Row],[UB League Total]],ADVPWAG[UB League Total], 0)</calculatedColumnFormula>
    </tableColumn>
    <tableColumn id="22" xr3:uid="{8C764081-AC23-534B-962C-FD7560421A65}" name="VT Comp 1"/>
    <tableColumn id="23" xr3:uid="{FB2321AB-B6B0-BD47-ACC1-4A3D71330D53}" name="VT Comp 2"/>
    <tableColumn id="26" xr3:uid="{78B7B8A5-EFD2-4D45-BE65-1DC98F9E4EA2}" name="VT League Total" dataDxfId="125">
      <calculatedColumnFormula>ADVPWAG[[#This Row],[VT Comp 1]]+ADVPWAG[[#This Row],[VT Comp 2]]</calculatedColumnFormula>
    </tableColumn>
    <tableColumn id="27" xr3:uid="{38D14C5F-C3A9-114A-977F-AD902C566CEF}" name="VT Ranking" dataDxfId="124">
      <calculatedColumnFormula>RANK(ADVPWAG[[#This Row],[VT League Total]],ADVPWAG[VT League Total], 0)</calculatedColumnFormula>
    </tableColumn>
    <tableColumn id="28" xr3:uid="{2C3A43AD-687C-6646-AD87-D9251D625C6B}" name="AA Comp 1"/>
    <tableColumn id="29" xr3:uid="{EC32CE0E-1E34-BF45-AE06-5416EDA2547A}" name="AA Comp 2"/>
    <tableColumn id="32" xr3:uid="{B955A1E0-B4FA-614D-8E98-AF5A58AB2E25}" name="AA League Total" dataDxfId="123">
      <calculatedColumnFormula>ADVPWAG[[#This Row],[AA Comp 1]]+ADVPWAG[[#This Row],[AA Comp 2]]</calculatedColumnFormula>
    </tableColumn>
    <tableColumn id="33" xr3:uid="{5829D11B-5461-DD4E-A093-9502A0AEE2DF}" name="Ranking5" dataDxfId="122">
      <calculatedColumnFormula>RANK(ADVPWAG[[#This Row],[AA League Total]],ADVPWAG[AA League Total], 0)</calculatedColumnFormula>
    </tableColumn>
  </tableColumns>
  <tableStyleInfo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3561F95-F456-5E45-BC7F-C97A721BECBE}" name="ADVWAG" displayName="ADVWAG" ref="A1:W56" totalsRowShown="0" headerRowDxfId="121">
  <autoFilter ref="A1:W56" xr:uid="{A3F3353F-AA07-6D4B-80CE-1C1E69B020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56">
    <sortCondition ref="W1:W56"/>
  </sortState>
  <tableColumns count="23">
    <tableColumn id="1" xr3:uid="{7E35515E-A070-F248-8FFB-59C6CEEAFF34}" name="Number" dataDxfId="120"/>
    <tableColumn id="2" xr3:uid="{0AAC84EA-A049-6F4D-A600-D7650ED9FAD8}" name="University / Institution" dataDxfId="119"/>
    <tableColumn id="3" xr3:uid="{5D817A0F-BC33-6F44-A17A-6B0FB3C2E1EF}" name="Name" dataDxfId="118"/>
    <tableColumn id="4" xr3:uid="{73D484E9-097B-1842-A7C4-2D72FE8699CC}" name="FX Comp 1"/>
    <tableColumn id="5" xr3:uid="{5044C515-E237-0F41-8FB7-8D8016C2BBC3}" name="FX Comp 2"/>
    <tableColumn id="8" xr3:uid="{1ABF0321-C0B5-9949-B8B9-76E5359577C0}" name="FX League Total" dataDxfId="117">
      <calculatedColumnFormula>ADVWAG[[#This Row],[FX Comp 1]]+ADVWAG[[#This Row],[FX Comp 2]]</calculatedColumnFormula>
    </tableColumn>
    <tableColumn id="9" xr3:uid="{C2FC137A-8689-EA43-AED8-7C2F863D6C92}" name="FX Ranking" dataDxfId="116">
      <calculatedColumnFormula>RANK(ADVWAG[[#This Row],[FX League Total]],ADVWAG[FX League Total], 0)</calculatedColumnFormula>
    </tableColumn>
    <tableColumn id="10" xr3:uid="{F34897F0-2DD5-D34B-9FB2-C7FB7782F9B9}" name="BB Comp 1"/>
    <tableColumn id="11" xr3:uid="{F827667E-3769-9943-B820-51EB55B582B9}" name="BB Comp 2"/>
    <tableColumn id="14" xr3:uid="{DDE39E5D-222E-134D-9467-94F656CE3DC7}" name="BB League Total" dataDxfId="115">
      <calculatedColumnFormula>ADVWAG[[#This Row],[BB Comp 1]]+ADVWAG[[#This Row],[BB Comp 2]]</calculatedColumnFormula>
    </tableColumn>
    <tableColumn id="15" xr3:uid="{C25A8A4F-876E-F447-8669-1ED76D237479}" name="BB Ranking" dataDxfId="114">
      <calculatedColumnFormula>RANK(ADVWAG[[#This Row],[BB League Total]],ADVWAG[BB League Total], 0)</calculatedColumnFormula>
    </tableColumn>
    <tableColumn id="16" xr3:uid="{DDA05E18-C347-9646-ABFE-CB0EAD3E6AD9}" name="UB Comp 1"/>
    <tableColumn id="17" xr3:uid="{926282B4-F478-4F4B-8CDC-FC6FCF7F7C97}" name="UB Comp 2"/>
    <tableColumn id="20" xr3:uid="{443E0DE3-F20D-B048-8348-9860EE5C4F62}" name="UB League Total" dataDxfId="113">
      <calculatedColumnFormula>ADVWAG[[#This Row],[UB Comp 1]]+ADVWAG[[#This Row],[UB Comp 2]]</calculatedColumnFormula>
    </tableColumn>
    <tableColumn id="21" xr3:uid="{BD01EF9D-5E3B-A44D-BE0D-469BE156FEBC}" name="UB Ranking" dataDxfId="112">
      <calculatedColumnFormula>RANK(ADVWAG[[#This Row],[UB League Total]],ADVWAG[UB League Total], 0)</calculatedColumnFormula>
    </tableColumn>
    <tableColumn id="22" xr3:uid="{5E2ADA1C-D8AE-BA46-9FC8-C6C4BDD96670}" name="VT Comp 1"/>
    <tableColumn id="23" xr3:uid="{CB2A3E48-558F-6F47-AB13-7F47DE26C464}" name="VT Comp 2"/>
    <tableColumn id="26" xr3:uid="{1D1CDE94-87CA-C444-A442-C8CE04339DF1}" name="VT League Total" dataDxfId="111">
      <calculatedColumnFormula>ADVWAG[[#This Row],[VT Comp 1]]+ADVWAG[[#This Row],[VT Comp 2]]</calculatedColumnFormula>
    </tableColumn>
    <tableColumn id="27" xr3:uid="{4666DCEA-87EE-2949-81FE-D9A5E7C4347F}" name="VT Ranking" dataDxfId="110">
      <calculatedColumnFormula>RANK(ADVWAG[[#This Row],[VT League Total]],ADVWAG[VT League Total], 0)</calculatedColumnFormula>
    </tableColumn>
    <tableColumn id="28" xr3:uid="{1EC2C6F1-F4C2-244A-B4AF-CAD80892DF5A}" name="AA Comp 1"/>
    <tableColumn id="29" xr3:uid="{70892D5F-D3E9-A949-AC17-A7E07D5A3D90}" name="AA Comp 2"/>
    <tableColumn id="32" xr3:uid="{4764C0F3-0480-4042-931A-9A30E3359EB5}" name="AA League Total" dataDxfId="109">
      <calculatedColumnFormula>ADVWAG[[#This Row],[AA Comp 1]]+ADVWAG[[#This Row],[AA Comp 2]]</calculatedColumnFormula>
    </tableColumn>
    <tableColumn id="33" xr3:uid="{6DC9AFDE-5DF6-F34B-8DCC-1ABC691CC929}" name="Ranking5" dataDxfId="108">
      <calculatedColumnFormula>RANK(ADVWAG[[#This Row],[AA League Total]],ADVWAG[AA League Total], 0)</calculatedColumnFormula>
    </tableColumn>
  </tableColumns>
  <tableStyleInfo showFirstColumn="0" showLastColumn="0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C82921-92E6-C241-A374-E938A73F6C01}" name="INTWAG" displayName="INTWAG" ref="A1:W76" totalsRowShown="0" headerRowDxfId="107">
  <autoFilter ref="A1:W76" xr:uid="{A3F3353F-AA07-6D4B-80CE-1C1E69B020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76">
    <sortCondition ref="W1:W76"/>
  </sortState>
  <tableColumns count="23">
    <tableColumn id="1" xr3:uid="{80B29113-4031-C744-9081-573163A55EA4}" name="Number" dataDxfId="106"/>
    <tableColumn id="2" xr3:uid="{D5725B0C-31C7-394F-9044-09174D3019CC}" name="University / Institution"/>
    <tableColumn id="3" xr3:uid="{C6B6A928-5FEF-2048-A68D-3D32B7A6F63C}" name="Name"/>
    <tableColumn id="4" xr3:uid="{956E793C-3333-764E-A3B6-6738AD0052A9}" name="FX Comp 1"/>
    <tableColumn id="5" xr3:uid="{D52445E5-67F8-064F-84D3-834864F65F46}" name="FX Comp 2"/>
    <tableColumn id="8" xr3:uid="{4E36FA24-38F7-E849-BBB5-77B3DBDA2CB9}" name="FX League Total" dataDxfId="105">
      <calculatedColumnFormula>INTWAG[[#This Row],[FX Comp 1]]+INTWAG[[#This Row],[FX Comp 2]]</calculatedColumnFormula>
    </tableColumn>
    <tableColumn id="9" xr3:uid="{F4217820-CE41-C048-A48E-CE776A225B85}" name="FX Ranking" dataDxfId="104">
      <calculatedColumnFormula>RANK(INTWAG[[#This Row],[FX League Total]],INTWAG[FX League Total], 0)</calculatedColumnFormula>
    </tableColumn>
    <tableColumn id="10" xr3:uid="{949CC41C-6083-6F4A-B5CB-8BFBA95BD985}" name="BB Comp 1"/>
    <tableColumn id="11" xr3:uid="{016462CE-778E-C04A-8EB3-3353D02B4A55}" name="BB Comp 2"/>
    <tableColumn id="14" xr3:uid="{E4B6EFA5-C060-8541-A041-ED0875CD9151}" name="BB League Total" dataDxfId="103">
      <calculatedColumnFormula>INTWAG[[#This Row],[BB Comp 1]]+INTWAG[[#This Row],[BB Comp 2]]</calculatedColumnFormula>
    </tableColumn>
    <tableColumn id="15" xr3:uid="{11DC560B-6F59-114D-8711-C9D62405F511}" name="BB Ranking" dataDxfId="102">
      <calculatedColumnFormula>RANK(INTWAG[[#This Row],[BB League Total]],INTWAG[BB League Total], 0)</calculatedColumnFormula>
    </tableColumn>
    <tableColumn id="16" xr3:uid="{CD878116-1C63-B448-9D4F-1DD50F225A1E}" name="UB Comp 1"/>
    <tableColumn id="17" xr3:uid="{1FA50560-1EA2-1349-8594-BB51BCFB94B6}" name="UB Comp 2"/>
    <tableColumn id="20" xr3:uid="{B39F2CD5-151C-0D40-968A-698F9986109F}" name="UB League Total" dataDxfId="101">
      <calculatedColumnFormula>INTWAG[[#This Row],[UB Comp 1]]+INTWAG[[#This Row],[UB Comp 2]]</calculatedColumnFormula>
    </tableColumn>
    <tableColumn id="21" xr3:uid="{DE56639C-66E4-4045-9F3A-7ADFC4315CF8}" name="UB Ranking" dataDxfId="100">
      <calculatedColumnFormula>RANK(INTWAG[[#This Row],[UB League Total]],INTWAG[UB League Total], 0)</calculatedColumnFormula>
    </tableColumn>
    <tableColumn id="22" xr3:uid="{75331952-00D3-E544-8B30-87BAE55488E1}" name="VT Comp 1"/>
    <tableColumn id="23" xr3:uid="{35D214A3-922F-8C4C-8D2B-6AE7401B0479}" name="VT Comp 2"/>
    <tableColumn id="26" xr3:uid="{40F5E7D3-3DC5-F141-8BF9-176096736764}" name="VT League Total" dataDxfId="99">
      <calculatedColumnFormula>INTWAG[[#This Row],[VT Comp 1]]+INTWAG[[#This Row],[VT Comp 2]]</calculatedColumnFormula>
    </tableColumn>
    <tableColumn id="27" xr3:uid="{809711ED-4B00-514C-9FCD-5FD9901D9503}" name="VT Ranking" dataDxfId="98">
      <calculatedColumnFormula>RANK(INTWAG[[#This Row],[VT League Total]],INTWAG[VT League Total], 0)</calculatedColumnFormula>
    </tableColumn>
    <tableColumn id="28" xr3:uid="{3DCE76A0-A2DA-4340-B190-9A56BA95AB3E}" name="AA Comp 1"/>
    <tableColumn id="29" xr3:uid="{C07A5300-893C-D54B-8F73-518F660964BA}" name="AA Comp 2"/>
    <tableColumn id="32" xr3:uid="{CB63EBCA-D10B-3544-8243-B07C130C683C}" name="AA League Total" dataDxfId="97">
      <calculatedColumnFormula>INTWAG[[#This Row],[AA Comp 1]]+INTWAG[[#This Row],[AA Comp 2]]</calculatedColumnFormula>
    </tableColumn>
    <tableColumn id="33" xr3:uid="{A29CB9A2-49C5-794D-94DC-F794B9DEA79B}" name="Ranking5" dataDxfId="96">
      <calculatedColumnFormula>RANK(INTWAG[[#This Row],[AA League Total]],INTWAG[AA League Total], 0)</calculatedColumnFormula>
    </tableColumn>
  </tableColumns>
  <tableStyleInfo showFirstColumn="0" showLastColumn="0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D51264E-B5AD-B146-88CB-06583EFCB9CF}" name="NOVWAG" displayName="NOVWAG" ref="A1:W39" totalsRowShown="0" headerRowDxfId="95">
  <autoFilter ref="A1:W39" xr:uid="{A3F3353F-AA07-6D4B-80CE-1C1E69B020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39">
    <sortCondition ref="W1:W39"/>
  </sortState>
  <tableColumns count="23">
    <tableColumn id="1" xr3:uid="{5E0AB9B8-CFB0-F042-8BA0-1D283A894AEA}" name="Number" dataDxfId="94"/>
    <tableColumn id="2" xr3:uid="{7D39E22C-5B1A-344C-8019-1DFA35DD2E2D}" name="University / Institution"/>
    <tableColumn id="3" xr3:uid="{F6B1DBC8-DD0B-7541-9F7B-2E32B65698C2}" name="Name"/>
    <tableColumn id="4" xr3:uid="{F52E9FC9-F1F8-B94F-B7B2-8252CAB00795}" name="FX Comp 1"/>
    <tableColumn id="5" xr3:uid="{F1AE0EFA-CFEF-AB4C-BAB3-38896354C0FF}" name="FX Comp 2"/>
    <tableColumn id="8" xr3:uid="{7CB67079-D39C-A045-9350-18EDF2FCA165}" name="FX League Total" dataDxfId="93">
      <calculatedColumnFormula>NOVWAG[[#This Row],[FX Comp 1]]+NOVWAG[[#This Row],[FX Comp 2]]</calculatedColumnFormula>
    </tableColumn>
    <tableColumn id="9" xr3:uid="{F1C1F20A-84DA-5A4C-9CB5-8094F1BFFAFA}" name="FX Ranking" dataDxfId="92">
      <calculatedColumnFormula>RANK(NOVWAG[[#This Row],[FX League Total]],NOVWAG[FX League Total], 0)</calculatedColumnFormula>
    </tableColumn>
    <tableColumn id="10" xr3:uid="{015D10B0-82F5-524E-9C7E-3B8A050CED57}" name="BB Comp 1"/>
    <tableColumn id="11" xr3:uid="{9AB94028-E1F7-D84A-86DE-AE769F31865C}" name="BB Comp 2"/>
    <tableColumn id="14" xr3:uid="{381BB9D7-BF19-2A4E-AFE9-C78909CDD336}" name="BB League Total" dataDxfId="91">
      <calculatedColumnFormula>NOVWAG[[#This Row],[BB Comp 1]]+NOVWAG[[#This Row],[BB Comp 2]]</calculatedColumnFormula>
    </tableColumn>
    <tableColumn id="15" xr3:uid="{008C7412-A4A4-3F4E-8F58-D31CECF9B3DF}" name="BB Ranking" dataDxfId="90">
      <calculatedColumnFormula>RANK(NOVWAG[[#This Row],[BB League Total]],NOVWAG[BB League Total], 0)</calculatedColumnFormula>
    </tableColumn>
    <tableColumn id="16" xr3:uid="{3EA1BCE4-3A47-644E-86D7-407CFADBBA95}" name="UB Comp 1"/>
    <tableColumn id="17" xr3:uid="{8805A171-D71C-464A-BAD3-630C6B0A0A09}" name="UB Comp 2"/>
    <tableColumn id="20" xr3:uid="{96367A82-3385-5149-83FA-7E94CA6F47AF}" name="UB League Total" dataDxfId="89">
      <calculatedColumnFormula>NOVWAG[[#This Row],[UB Comp 1]]+NOVWAG[[#This Row],[UB Comp 2]]</calculatedColumnFormula>
    </tableColumn>
    <tableColumn id="21" xr3:uid="{64AD921E-A7C7-7748-8BAA-2042F2E5520E}" name="UB Ranking" dataDxfId="88">
      <calculatedColumnFormula>RANK(NOVWAG[[#This Row],[UB League Total]],NOVWAG[UB League Total], 0)</calculatedColumnFormula>
    </tableColumn>
    <tableColumn id="22" xr3:uid="{3E132DA1-2ABD-FC44-9EFE-9AEC16C592CB}" name="VT Comp 1"/>
    <tableColumn id="23" xr3:uid="{76357639-5F78-7042-B0C4-0435DD90FCD0}" name="VT Comp 2"/>
    <tableColumn id="26" xr3:uid="{099345E5-E394-6E48-9008-68B2FC4E4C28}" name="VT League Total" dataDxfId="87">
      <calculatedColumnFormula>NOVWAG[[#This Row],[VT Comp 1]]+NOVWAG[[#This Row],[VT Comp 2]]</calculatedColumnFormula>
    </tableColumn>
    <tableColumn id="27" xr3:uid="{8E6B3B84-1217-004B-9467-F3D27649FCDC}" name="VT Ranking" dataDxfId="86">
      <calculatedColumnFormula>RANK(NOVWAG[[#This Row],[VT League Total]],NOVWAG[VT League Total], 0)</calculatedColumnFormula>
    </tableColumn>
    <tableColumn id="28" xr3:uid="{9BD6F92D-3551-FA41-BEFB-4D7046452C13}" name="AA Comp 1"/>
    <tableColumn id="29" xr3:uid="{A77F03A7-4338-D242-9FD0-1271D9DC2825}" name="AA Comp 2"/>
    <tableColumn id="32" xr3:uid="{B389459C-E13B-7E43-9EC3-EFA81DC12E7E}" name="AA League Total" dataDxfId="85">
      <calculatedColumnFormula>NOVWAG[[#This Row],[AA Comp 1]]+NOVWAG[[#This Row],[AA Comp 2]]</calculatedColumnFormula>
    </tableColumn>
    <tableColumn id="33" xr3:uid="{3A81918E-A8F3-E446-8A08-377225BEF109}" name="Ranking5" dataDxfId="84">
      <calculatedColumnFormula>RANK(NOVWAG[[#This Row],[AA League Total]],NOVWAG[AA League Total], 0)</calculatedColumnFormula>
    </tableColumn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A98DED1-FAE9-5A4B-B5B9-B83A83F3FEB4}" name="Table3" displayName="Table3" ref="Y13:AC29" totalsRowShown="0">
  <autoFilter ref="Y13:AC29" xr:uid="{BA98DED1-FAE9-5A4B-B5B9-B83A83F3FEB4}"/>
  <tableColumns count="5">
    <tableColumn id="1" xr3:uid="{30695221-729D-564B-BCED-2912A2684B0A}" name="University" dataDxfId="304">
      <calculatedColumnFormula>J5</calculatedColumnFormula>
    </tableColumn>
    <tableColumn id="2" xr3:uid="{475C1FDD-12A9-1C43-B313-4413055622DA}" name="Comp 1 Total" dataDxfId="303">
      <calculatedColumnFormula>V5</calculatedColumnFormula>
    </tableColumn>
    <tableColumn id="3" xr3:uid="{59F02A6F-AE4B-0F49-B662-F5C845019C1E}" name="Comp 2 Total" dataDxfId="302">
      <calculatedColumnFormula>V25</calculatedColumnFormula>
    </tableColumn>
    <tableColumn id="6" xr3:uid="{6A9E2718-6209-2347-94D1-401DABCEEAAE}" name="North League Total" dataDxfId="301">
      <calculatedColumnFormula>SUM(Table3[[#This Row],[Comp 1 Total]:[Comp 2 Total]])</calculatedColumnFormula>
    </tableColumn>
    <tableColumn id="7" xr3:uid="{2774F0D6-C839-B844-A783-3E2806C295C6}" name="Position" dataDxfId="300">
      <calculatedColumnFormula>RANK(AB14, AB$14:AB$29,0)</calculatedColumnFormula>
    </tableColumn>
  </tableColumns>
  <tableStyleInfo name="TableStyleMedium1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663E1E0-76FC-D145-97A1-B0DC02EF6CEC}" name="Table2" displayName="Table2" ref="J24:W41" totalsRowShown="0">
  <autoFilter ref="J24:W41" xr:uid="{0663E1E0-76FC-D145-97A1-B0DC02EF6CEC}"/>
  <tableColumns count="14">
    <tableColumn id="1" xr3:uid="{F9A911E3-150F-C549-A7A0-B7D4C2A803EF}" name="University" dataDxfId="299">
      <calculatedColumnFormula>J69</calculatedColumnFormula>
    </tableColumn>
    <tableColumn id="2" xr3:uid="{21041611-EE69-9543-8158-8D9663E10287}" name="Score 1" dataDxfId="298">
      <calculatedColumnFormula>IFERROR(IF(LARGE(K69:JD69, 1), LARGE(K69:JD69, 1),"n/a"), "")</calculatedColumnFormula>
    </tableColumn>
    <tableColumn id="3" xr3:uid="{4D5854EB-23D7-EE4A-BEFE-9AF5AC6CDD9B}" name="Score 2" dataDxfId="297">
      <calculatedColumnFormula>IFERROR(IF(LARGE(K69:JD69, 2), LARGE(K69:JD69,2),"n/a"), "")</calculatedColumnFormula>
    </tableColumn>
    <tableColumn id="4" xr3:uid="{FCB36ED0-D362-2841-90BB-3C15D90B5211}" name="Score 3" dataDxfId="296">
      <calculatedColumnFormula>IFERROR(IF(LARGE(K69:JD69, 3), LARGE(K69:JD69,3),"n/a"), "")</calculatedColumnFormula>
    </tableColumn>
    <tableColumn id="5" xr3:uid="{12A95936-15D7-B14B-9924-98C3F01EC308}" name="Score 4" dataDxfId="295">
      <calculatedColumnFormula>IFERROR(IF(LARGE(K69:JD69, 4), LARGE(K69:JD69,4),"n/a"), "")</calculatedColumnFormula>
    </tableColumn>
    <tableColumn id="9" xr3:uid="{4F05B2AC-5E1B-D243-8122-B6B7F0B7BCB0}" name="Score 5" dataDxfId="294">
      <calculatedColumnFormula>IFERROR(IF(LARGE(K69:JD69, 5), LARGE(K69:JD69,5),"n/a"), "")</calculatedColumnFormula>
    </tableColumn>
    <tableColumn id="12" xr3:uid="{EFD827EE-2615-2344-A2FF-76436E597224}" name="Score 6" dataDxfId="293">
      <calculatedColumnFormula>IFERROR(IF(LARGE(K69:JD69, 6), LARGE(K69:JD69,6),"n/a"), "")</calculatedColumnFormula>
    </tableColumn>
    <tableColumn id="11" xr3:uid="{B3D6585B-1413-E04B-8882-035EEF370B0B}" name="Score 7" dataDxfId="292">
      <calculatedColumnFormula>IFERROR(IF(LARGE(K69:JD69, 7), LARGE(K69:JD69,7),"n/a"), "")</calculatedColumnFormula>
    </tableColumn>
    <tableColumn id="10" xr3:uid="{70D38978-D2D9-CA49-BF45-3827E37F00FD}" name="Score 8" dataDxfId="291">
      <calculatedColumnFormula>IFERROR(IF(LARGE(K69:JD69, 8), LARGE(K69:JD69,8),"n/a"), "")</calculatedColumnFormula>
    </tableColumn>
    <tableColumn id="8" xr3:uid="{E6CA66F9-D870-314D-8B11-67A3C855FD40}" name="Score 9" dataDxfId="290">
      <calculatedColumnFormula>IFERROR(IF(LARGE(K69:JD69, 9), LARGE(K69:JD69,9),"n/a"), "")</calculatedColumnFormula>
    </tableColumn>
    <tableColumn id="13" xr3:uid="{F2C21938-8A83-3442-8D8F-A53A8131D54D}" name="Score 10" dataDxfId="289">
      <calculatedColumnFormula>IFERROR(IF(LARGE(K69:JD69, 10), LARGE(K69:JD69,10),"n/a"), "")</calculatedColumnFormula>
    </tableColumn>
    <tableColumn id="14" xr3:uid="{FFDF0E70-B6C3-7A43-B9CA-57DCF2885090}" name="Score 11" dataDxfId="288">
      <calculatedColumnFormula>IFERROR(IF(LARGE(K69:JD69, 11), LARGE(K69:JD69,11),"n/a"), "")</calculatedColumnFormula>
    </tableColumn>
    <tableColumn id="6" xr3:uid="{4CCA8B54-67A8-094B-8050-A1C83C7E0B0B}" name="Comp 2 Total" dataDxfId="287">
      <calculatedColumnFormula>SUM(#REF!)</calculatedColumnFormula>
    </tableColumn>
    <tableColumn id="7" xr3:uid="{66B20F6B-C017-BE48-ADE8-9509C7577867}" name="Position" dataDxfId="286">
      <calculatedColumnFormula>RANK(V25, V$25:V$41,0)</calculatedColumnFormula>
    </tableColumn>
  </tableColumns>
  <tableStyleInfo name="TableStyleMedium1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36F0D9-C8CA-C347-9323-A87633EFDE2D}" name="FIGMAG" displayName="FIGMAG" ref="A1:AE8" totalsRowShown="0" headerRowDxfId="285">
  <autoFilter ref="A1:AE8" xr:uid="{EA36F0D9-C8CA-C347-9323-A87633EFDE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sortState xmlns:xlrd2="http://schemas.microsoft.com/office/spreadsheetml/2017/richdata2" ref="A2:AE8">
    <sortCondition ref="AE1:AE8"/>
  </sortState>
  <tableColumns count="31">
    <tableColumn id="1" xr3:uid="{8C0A7D6C-299F-8243-A7CD-AC0D3925A2DD}" name="Number" dataDxfId="284"/>
    <tableColumn id="2" xr3:uid="{0F9A2675-061D-3A42-BE92-529E02BC5E96}" name="University / Institution"/>
    <tableColumn id="3" xr3:uid="{8D996258-B5B0-9848-B1A2-CABE68D64747}" name="Name"/>
    <tableColumn id="4" xr3:uid="{ADD77239-8D05-0249-9EBB-8B7DBFE05EBC}" name="FX Comp 1" dataDxfId="283"/>
    <tableColumn id="5" xr3:uid="{6BEDEE1B-89E4-6C40-8666-2A8DB93C6754}" name="FX Comp 2" dataDxfId="282"/>
    <tableColumn id="8" xr3:uid="{2E450CC7-462B-564D-892C-2DDA75B28DAA}" name="FX League Total" dataDxfId="281"/>
    <tableColumn id="9" xr3:uid="{19EC2335-CF6C-6141-97BF-776E17C0AF37}" name="Ranking " dataDxfId="280"/>
    <tableColumn id="10" xr3:uid="{402B233D-AEA9-0C4F-9C33-0A6AA667DE34}" name="PH Comp 1" dataDxfId="279"/>
    <tableColumn id="11" xr3:uid="{2C6E3326-3AB9-744B-B307-94AC28B73E3F}" name="PH Comp 2" dataDxfId="278"/>
    <tableColumn id="14" xr3:uid="{27121F99-2A51-EE49-9B40-EE594D4F15EC}" name="PH  League Total" dataDxfId="277">
      <calculatedColumnFormula>FIGMAG[[#This Row],[PH Comp 1]]+FIGMAG[[#This Row],[PH Comp 2]]</calculatedColumnFormula>
    </tableColumn>
    <tableColumn id="15" xr3:uid="{D22A83E8-6A02-1042-AE81-CD878B36AFBC}" name="Ranking 2" dataDxfId="276"/>
    <tableColumn id="16" xr3:uid="{D88DF31F-FE01-7C4F-988E-FE124D04E5F9}" name="SR Comp 1" dataDxfId="275"/>
    <tableColumn id="17" xr3:uid="{D65458B1-5467-2846-B96B-843CB415393E}" name="SR Comp 2" dataDxfId="274"/>
    <tableColumn id="20" xr3:uid="{81AB936D-50FC-CA4C-8F5E-E0F80E289261}" name="SR League Total" dataDxfId="273">
      <calculatedColumnFormula>FIGMAG[[#This Row],[SR Comp 1]]+FIGMAG[[#This Row],[SR Comp 2]]</calculatedColumnFormula>
    </tableColumn>
    <tableColumn id="21" xr3:uid="{0DACAACD-2F38-3144-98E9-D7D0F3F4A040}" name="Ranking" dataDxfId="272"/>
    <tableColumn id="22" xr3:uid="{4C0D00F6-087F-9748-89C0-D75587E7F762}" name="VT Comp 1" dataDxfId="271"/>
    <tableColumn id="23" xr3:uid="{2553B06B-24BC-AD48-B469-514B90253C87}" name="VT Comp 2" dataDxfId="270"/>
    <tableColumn id="26" xr3:uid="{0E28174D-76A3-C140-865A-2C5EAEF26A9C}" name="VT League Total" dataDxfId="269">
      <calculatedColumnFormula>FIGMAG[[#This Row],[VT Comp 1]]+FIGMAG[[#This Row],[VT Comp 2]]</calculatedColumnFormula>
    </tableColumn>
    <tableColumn id="27" xr3:uid="{4E00A618-26C1-D340-BCDA-E8DFDEC88A99}" name="Ranking 3" dataDxfId="268"/>
    <tableColumn id="28" xr3:uid="{E2970C5D-462B-4A40-B0C2-372ED4541C61}" name="PB Comp 1" dataDxfId="267"/>
    <tableColumn id="29" xr3:uid="{B4F284F0-A9DC-7540-A324-DB6E9DC11A07}" name="PB Comp 2" dataDxfId="266"/>
    <tableColumn id="32" xr3:uid="{F9A2680E-0642-8948-944A-B34CCC5F64E7}" name="PB League Total" dataDxfId="265">
      <calculatedColumnFormula>FIGMAG[[#This Row],[PB Comp 1]]+FIGMAG[[#This Row],[PB Comp 2]]</calculatedColumnFormula>
    </tableColumn>
    <tableColumn id="33" xr3:uid="{492DB08D-52D8-2046-BD0D-85D6F1261A98}" name="Ranking4" dataDxfId="264"/>
    <tableColumn id="34" xr3:uid="{FC6249F1-A602-C941-A373-B130A20F8AE3}" name="HB Comp 1" dataDxfId="263"/>
    <tableColumn id="35" xr3:uid="{61C3A1D5-8584-4B42-80EC-25815B00028C}" name="HB Comp 2" dataDxfId="262"/>
    <tableColumn id="38" xr3:uid="{6B3ABDF2-D571-DF48-B28A-9E993E12F927}" name="HB League Total" dataDxfId="261">
      <calculatedColumnFormula>FIGMAG[[#This Row],[HB Comp 1]]+FIGMAG[[#This Row],[HB Comp 2]]</calculatedColumnFormula>
    </tableColumn>
    <tableColumn id="39" xr3:uid="{234C3C98-807F-E44C-8692-93E9F5AC0EAF}" name="Ranking 5" dataDxfId="260"/>
    <tableColumn id="40" xr3:uid="{DAD95D53-1330-3842-892E-82E563D3EA60}" name="AA Comp 1" dataDxfId="259"/>
    <tableColumn id="41" xr3:uid="{13950218-263D-1147-AE7B-3F48A7CF3932}" name="AA Comp 2" dataDxfId="258"/>
    <tableColumn id="44" xr3:uid="{553844A6-5FD2-A341-ACF6-37D5540A1E98}" name="AA League Total" dataDxfId="257">
      <calculatedColumnFormula>FIGMAG[[#This Row],[AA Comp 1]]+FIGMAG[[#This Row],[AA Comp 2]]</calculatedColumnFormula>
    </tableColumn>
    <tableColumn id="45" xr3:uid="{B96F3374-B5D3-3848-97CA-FD322D84A4F5}" name="Ranking 6" dataDxfId="256"/>
  </tableColumns>
  <tableStyleInfo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C33864-A090-6C45-99EC-B932C8102749}" name="ADVPMAG" displayName="ADVPMAG" ref="A1:AE14" totalsRowShown="0" headerRowDxfId="255">
  <autoFilter ref="A1:AE14" xr:uid="{EA36F0D9-C8CA-C347-9323-A87633EFDE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sortState xmlns:xlrd2="http://schemas.microsoft.com/office/spreadsheetml/2017/richdata2" ref="A2:AE14">
    <sortCondition ref="AE1:AE14"/>
  </sortState>
  <tableColumns count="31">
    <tableColumn id="1" xr3:uid="{883CB3DE-A1EA-994D-868A-DD1730300C1F}" name="Number" dataDxfId="254"/>
    <tableColumn id="2" xr3:uid="{35C1B7AF-988A-414B-A53F-CEC555C6B5FD}" name="University / Institution"/>
    <tableColumn id="3" xr3:uid="{EB311EA8-4D3E-1E49-97AF-3E8E4199DEEC}" name="Name"/>
    <tableColumn id="4" xr3:uid="{EC74CAE1-1946-7F49-BDE9-3C0C15CEDC45}" name="FX Comp 1" dataDxfId="253"/>
    <tableColumn id="5" xr3:uid="{4CD6D83C-812D-7949-83AD-BF9A9CA68CFC}" name="FX Comp 2" dataDxfId="252"/>
    <tableColumn id="8" xr3:uid="{3966E0C6-E1D3-514D-831E-F1029E349240}" name="FX League Total" dataDxfId="251">
      <calculatedColumnFormula>ADVPMAG[[#This Row],[FX Comp 1]]+ADVPMAG[[#This Row],[FX Comp 2]]</calculatedColumnFormula>
    </tableColumn>
    <tableColumn id="9" xr3:uid="{26EDFE76-1552-BA42-A749-111FF1C05BF6}" name="Ranking " dataDxfId="250">
      <calculatedColumnFormula>RANK(ADVPMAG[[#This Row],[FX League Total]],ADVPMAG[FX League Total], 0)</calculatedColumnFormula>
    </tableColumn>
    <tableColumn id="10" xr3:uid="{6FD7880D-0654-EE47-941E-96E428FCBEDF}" name="PH Comp 1" dataDxfId="249"/>
    <tableColumn id="11" xr3:uid="{ACC0DE2B-9D14-974F-8692-EE857D8A6752}" name="PH Comp 2" dataDxfId="248"/>
    <tableColumn id="14" xr3:uid="{8D2FCCE1-3DD1-7540-AEEF-CB5D1FD763EC}" name="PH  League Total" dataDxfId="247">
      <calculatedColumnFormula>ADVPMAG[[#This Row],[PH Comp 1]]+ADVPMAG[[#This Row],[PH Comp 2]]</calculatedColumnFormula>
    </tableColumn>
    <tableColumn id="15" xr3:uid="{FC7E6059-BB0D-F549-A28F-6234299FEBE1}" name="Ranking 2" dataDxfId="246">
      <calculatedColumnFormula>RANK(ADVPMAG[[#This Row],[PH  League Total]],ADVPMAG[PH  League Total], 0)</calculatedColumnFormula>
    </tableColumn>
    <tableColumn id="16" xr3:uid="{287211A4-75D5-7540-B465-5318A5196041}" name="SR Comp 1" dataDxfId="245"/>
    <tableColumn id="17" xr3:uid="{9F7F30A3-EDEF-EE43-B4BA-BDCABA39CB0A}" name="SR Comp 2" dataDxfId="244"/>
    <tableColumn id="20" xr3:uid="{BDCD9A5F-957E-6E40-81A9-A62EA1419E50}" name="SR League Total" dataDxfId="243">
      <calculatedColumnFormula>ADVPMAG[[#This Row],[SR Comp 1]]+ADVPMAG[[#This Row],[SR Comp 2]]</calculatedColumnFormula>
    </tableColumn>
    <tableColumn id="21" xr3:uid="{216FDF2C-3588-134F-9A5E-675F2D7FFE92}" name="Ranking" dataDxfId="242">
      <calculatedColumnFormula>RANK(ADVPMAG[[#This Row],[SR League Total]],ADVPMAG[SR League Total], 0)</calculatedColumnFormula>
    </tableColumn>
    <tableColumn id="22" xr3:uid="{DE73DA38-D719-8F4A-AA3C-48EF494783E8}" name="VT Comp 1" dataDxfId="241"/>
    <tableColumn id="23" xr3:uid="{05C92281-FB95-3B48-B0D7-CBE26F74C589}" name="VT Comp 2" dataDxfId="240"/>
    <tableColumn id="26" xr3:uid="{C5F2A176-5F3F-DF4B-88CD-383DF64E06F0}" name="VT League Total" dataDxfId="239">
      <calculatedColumnFormula>ADVPMAG[[#This Row],[VT Comp 1]]+ADVPMAG[[#This Row],[VT Comp 2]]</calculatedColumnFormula>
    </tableColumn>
    <tableColumn id="27" xr3:uid="{66BD1203-545A-C243-96DC-EDA06D3B6D2F}" name="Ranking 3" dataDxfId="238">
      <calculatedColumnFormula>RANK(ADVPMAG[[#This Row],[VT League Total]],ADVPMAG[VT League Total], 0)</calculatedColumnFormula>
    </tableColumn>
    <tableColumn id="28" xr3:uid="{3871BCC6-DF40-1C46-A430-2B08656769E4}" name="PB Comp 1" dataDxfId="237"/>
    <tableColumn id="29" xr3:uid="{4B4D2CFF-867A-8847-B952-EACDFF4F3B42}" name="PB Comp 2" dataDxfId="236"/>
    <tableColumn id="32" xr3:uid="{3D72E09C-D495-8C47-96F2-D103C8AEF767}" name="PB League Total" dataDxfId="235">
      <calculatedColumnFormula>ADVPMAG[[#This Row],[PB Comp 1]]+ADVPMAG[[#This Row],[PB Comp 2]]</calculatedColumnFormula>
    </tableColumn>
    <tableColumn id="33" xr3:uid="{7C9944A9-49F0-C548-84F0-17F3EFD4818C}" name="Ranking4" dataDxfId="234">
      <calculatedColumnFormula>RANK(ADVPMAG[[#This Row],[PB League Total]],ADVPMAG[PB League Total], 0)</calculatedColumnFormula>
    </tableColumn>
    <tableColumn id="34" xr3:uid="{8335740E-AF86-5E45-A3AE-A4DB3E363039}" name="HB Comp 1" dataDxfId="233"/>
    <tableColumn id="35" xr3:uid="{230A532E-87CF-1249-B295-ED05B886FB12}" name="HB Comp 2" dataDxfId="232"/>
    <tableColumn id="38" xr3:uid="{6AA3EC2C-7D9F-FC4F-A524-2236347AF03B}" name="HB League Total" dataDxfId="231">
      <calculatedColumnFormula>ADVPMAG[[#This Row],[HB Comp 1]]+ADVPMAG[[#This Row],[HB Comp 2]]</calculatedColumnFormula>
    </tableColumn>
    <tableColumn id="39" xr3:uid="{7367BBF8-3BFB-034A-8EFF-361D755D6A58}" name="Ranking 5" dataDxfId="230">
      <calculatedColumnFormula>RANK(ADVPMAG[[#This Row],[HB League Total]],ADVPMAG[HB League Total], 0)</calculatedColumnFormula>
    </tableColumn>
    <tableColumn id="40" xr3:uid="{1F7AC4EB-4215-414A-AA44-3198CB1045F9}" name="AA Comp 1" dataDxfId="229"/>
    <tableColumn id="41" xr3:uid="{4203E98B-B86A-344E-8FCE-4CA108D80E7A}" name="AA Comp 2" dataDxfId="228"/>
    <tableColumn id="44" xr3:uid="{8BD054EF-BE33-CA4D-97AB-D701BD7477E7}" name="AA League Total" dataDxfId="227">
      <calculatedColumnFormula>ADVPMAG[[#This Row],[AA Comp 1]]+ADVPMAG[[#This Row],[AA Comp 2]]</calculatedColumnFormula>
    </tableColumn>
    <tableColumn id="45" xr3:uid="{D17F6809-29D9-8F4C-A771-BD23931FBC10}" name="Ranking6" dataDxfId="226">
      <calculatedColumnFormula>RANK(ADVPMAG[[#This Row],[AA League Total]],ADVPMAG[AA League Total], 0)</calculatedColumnFormula>
    </tableColumn>
  </tableColumns>
  <tableStyleInfo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41661DA-1E56-F146-AE54-47EAD15D9FBE}" name="ADVMAG" displayName="ADVMAG" ref="A1:AE16" totalsRowShown="0" headerRowDxfId="225">
  <autoFilter ref="A1:AE16" xr:uid="{EA36F0D9-C8CA-C347-9323-A87633EFDE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sortState xmlns:xlrd2="http://schemas.microsoft.com/office/spreadsheetml/2017/richdata2" ref="A2:AE16">
    <sortCondition ref="AE1:AE16"/>
  </sortState>
  <tableColumns count="31">
    <tableColumn id="1" xr3:uid="{18696E6F-CA93-1741-987F-4FB5CEDD20AC}" name="Number" dataDxfId="224"/>
    <tableColumn id="2" xr3:uid="{16DCBD48-1989-CA41-9F72-120361D63ECF}" name="University / Institution"/>
    <tableColumn id="3" xr3:uid="{6E11757A-5C79-9D4F-A3A9-72A8F54249DB}" name="Name"/>
    <tableColumn id="4" xr3:uid="{74E20D33-B06C-6C43-830E-16CC0AD66641}" name="FX Comp 1" dataDxfId="223"/>
    <tableColumn id="5" xr3:uid="{BF1CB357-AF7C-DE4C-A059-5CB9DA36E32F}" name="FX Comp 2" dataDxfId="222"/>
    <tableColumn id="8" xr3:uid="{1026EA17-843D-8546-A8A9-299B09398049}" name="FX League Total" dataDxfId="221">
      <calculatedColumnFormula>ADVMAG[[#This Row],[FX Comp 1]]+ADVMAG[[#This Row],[FX Comp 2]]</calculatedColumnFormula>
    </tableColumn>
    <tableColumn id="9" xr3:uid="{08E091AD-DB96-A949-B824-9B02947CA40C}" name="Ranking " dataDxfId="220">
      <calculatedColumnFormula>RANK(ADVMAG[[#This Row],[FX League Total]],ADVMAG[FX League Total], 0)</calculatedColumnFormula>
    </tableColumn>
    <tableColumn id="10" xr3:uid="{1971E794-F809-A24A-8C42-E9CBFB31F7FB}" name="PH Comp 1" dataDxfId="219"/>
    <tableColumn id="11" xr3:uid="{A07E8775-6A48-A84E-93DB-461AF7CFB4EF}" name="PH Comp 2" dataDxfId="218"/>
    <tableColumn id="14" xr3:uid="{E06F8023-BAEA-6140-BEEF-B75BEBC11FD5}" name="PH  League Total" dataDxfId="217">
      <calculatedColumnFormula>ADVMAG[[#This Row],[PH Comp 1]]+ADVMAG[[#This Row],[PH Comp 2]]</calculatedColumnFormula>
    </tableColumn>
    <tableColumn id="15" xr3:uid="{4F7CE166-1031-424E-AC93-3528F2BC5953}" name="Ranking 2" dataDxfId="216">
      <calculatedColumnFormula>RANK(ADVMAG[[#This Row],[PH  League Total]],ADVMAG[PH  League Total], 0)</calculatedColumnFormula>
    </tableColumn>
    <tableColumn id="16" xr3:uid="{ED5B69E7-B4CE-AF44-8375-BD8D1BD49DAC}" name="SR Comp 1" dataDxfId="215"/>
    <tableColumn id="17" xr3:uid="{2B7C400B-6DF3-A141-AEF3-F2DD2ECBC73C}" name="SR Comp 2" dataDxfId="214"/>
    <tableColumn id="20" xr3:uid="{BAD88D31-F830-FA40-B760-D0C7CF4D0AD7}" name="SR League Total" dataDxfId="213">
      <calculatedColumnFormula>ADVMAG[[#This Row],[SR Comp 1]]+ADVMAG[[#This Row],[SR Comp 2]]</calculatedColumnFormula>
    </tableColumn>
    <tableColumn id="21" xr3:uid="{7054DD90-CB37-4646-8EC6-6205167F7AD7}" name="Ranking" dataDxfId="212">
      <calculatedColumnFormula>RANK(ADVMAG[[#This Row],[SR League Total]],ADVMAG[SR League Total], 0)</calculatedColumnFormula>
    </tableColumn>
    <tableColumn id="22" xr3:uid="{243282C5-39F8-F94A-9091-FF99C279B771}" name="VT Comp 1" dataDxfId="211"/>
    <tableColumn id="23" xr3:uid="{F2F39ADE-9901-3B43-B0CA-A711C84F224B}" name="VT Comp 2" dataDxfId="210"/>
    <tableColumn id="26" xr3:uid="{3D7D83C1-1E33-B849-AFDD-21B43E848728}" name="VT League Total" dataDxfId="209">
      <calculatedColumnFormula>ADVMAG[[#This Row],[VT Comp 1]]+ADVMAG[[#This Row],[VT Comp 2]]</calculatedColumnFormula>
    </tableColumn>
    <tableColumn id="27" xr3:uid="{90045986-73A6-FF43-BC12-7EF7ECB3D225}" name="Ranking 3" dataDxfId="208">
      <calculatedColumnFormula>RANK(ADVMAG[[#This Row],[VT League Total]],ADVMAG[VT League Total], 0)</calculatedColumnFormula>
    </tableColumn>
    <tableColumn id="28" xr3:uid="{69428BA4-14BC-1640-A8D5-BF3262C9B38E}" name="PB Comp 1" dataDxfId="207"/>
    <tableColumn id="29" xr3:uid="{1CEC94BB-CEA5-664A-ACC2-11DC0758B9E8}" name="PB Comp 2" dataDxfId="206"/>
    <tableColumn id="32" xr3:uid="{44075290-B38B-DB49-99DE-369CC35ED3AC}" name="PB League Total" dataDxfId="205">
      <calculatedColumnFormula>ADVMAG[[#This Row],[PB Comp 1]]+ADVMAG[[#This Row],[PB Comp 2]]</calculatedColumnFormula>
    </tableColumn>
    <tableColumn id="33" xr3:uid="{38516056-96A7-D34E-9368-1571D46F8EF8}" name="Ranking4" dataDxfId="204">
      <calculatedColumnFormula>RANK(ADVMAG[[#This Row],[PB League Total]],ADVMAG[PB League Total], 0)</calculatedColumnFormula>
    </tableColumn>
    <tableColumn id="34" xr3:uid="{59CC04ED-A17D-E14C-A5C9-B7A0C46ECAA9}" name="HB Comp 1" dataDxfId="203"/>
    <tableColumn id="35" xr3:uid="{C6582469-E6E8-F94F-857C-0A144E8AD252}" name="HB Comp 2" dataDxfId="202"/>
    <tableColumn id="38" xr3:uid="{BCAB7D07-D5F0-3C4F-8958-16B5220F1E16}" name="HB League Total" dataDxfId="201">
      <calculatedColumnFormula>ADVMAG[[#This Row],[HB Comp 1]]+ADVMAG[[#This Row],[HB Comp 2]]</calculatedColumnFormula>
    </tableColumn>
    <tableColumn id="39" xr3:uid="{66D02002-8C77-5645-84C0-AC7483FB2AD8}" name="Ranking 5" dataDxfId="200">
      <calculatedColumnFormula>RANK(ADVMAG[[#This Row],[HB League Total]],ADVMAG[HB League Total], 0)</calculatedColumnFormula>
    </tableColumn>
    <tableColumn id="40" xr3:uid="{394439D7-D428-314C-A9C5-77A4BD2460F6}" name="AA Comp 1" dataDxfId="199"/>
    <tableColumn id="41" xr3:uid="{DFCFD4A1-EF1F-F64B-9232-977FC4CBE639}" name="AA Comp 2" dataDxfId="198"/>
    <tableColumn id="44" xr3:uid="{B8040044-EFEB-4148-811A-6CACB0E81EB4}" name="AA League Total" dataDxfId="197">
      <calculatedColumnFormula>ADVMAG[[#This Row],[AA Comp 1]]+ADVMAG[[#This Row],[AA Comp 2]]</calculatedColumnFormula>
    </tableColumn>
    <tableColumn id="45" xr3:uid="{DB403CC4-891F-D24E-9AE6-252CAAB2334B}" name="Ranking6" dataDxfId="196">
      <calculatedColumnFormula>RANK(ADVMAG[[#This Row],[AA League Total]],ADVMAG[AA League Total], 0)</calculatedColumnFormula>
    </tableColumn>
  </tableColumns>
  <tableStyleInfo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E5DFD2-0F4E-ED46-9ECE-335B1ABBCCB9}" name="INTMAG" displayName="INTMAG" ref="A1:AA21" totalsRowShown="0" headerRowDxfId="195">
  <autoFilter ref="A1:AA21" xr:uid="{EA36F0D9-C8CA-C347-9323-A87633EFDE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sortState xmlns:xlrd2="http://schemas.microsoft.com/office/spreadsheetml/2017/richdata2" ref="A2:AA21">
    <sortCondition ref="A1:A21"/>
  </sortState>
  <tableColumns count="27">
    <tableColumn id="1" xr3:uid="{93804BFA-A885-6F44-A3B6-A31800BB4382}" name="Number" dataDxfId="194"/>
    <tableColumn id="2" xr3:uid="{0157D81A-F675-1344-A02D-D8978730CAEE}" name="University / Institution"/>
    <tableColumn id="3" xr3:uid="{6527614F-5EB7-9A42-BE04-94642ACADFD9}" name="Name"/>
    <tableColumn id="4" xr3:uid="{6D97285B-775F-6547-A8EA-3ADF1BD7FDF2}" name="FX Comp 1" dataDxfId="193"/>
    <tableColumn id="5" xr3:uid="{564E105F-1F3E-F74B-BB20-99CE4147B16B}" name="FX Comp 2" dataDxfId="192"/>
    <tableColumn id="8" xr3:uid="{D3508D3F-95AA-2A46-B51B-EF664D1A154B}" name="FX League Total" dataDxfId="191">
      <calculatedColumnFormula>INTMAG[[#This Row],[FX Comp 1]]+INTMAG[[#This Row],[FX Comp 2]]</calculatedColumnFormula>
    </tableColumn>
    <tableColumn id="9" xr3:uid="{5AB8BFDD-C774-A74B-B2EF-266DB45F18C0}" name="Ranking " dataDxfId="190">
      <calculatedColumnFormula>RANK(INTMAG[[#This Row],[FX League Total]],INTMAG[FX League Total], 0)</calculatedColumnFormula>
    </tableColumn>
    <tableColumn id="16" xr3:uid="{AA099477-8B72-5843-9413-C88354DD084F}" name="SR Comp 1" dataDxfId="189"/>
    <tableColumn id="17" xr3:uid="{05FBDB25-A9DB-794B-AD18-0F6E4E0E45FF}" name="SR Comp 2" dataDxfId="188"/>
    <tableColumn id="20" xr3:uid="{0541E572-430F-AA46-9CC5-A1275853A4B7}" name="SR League Total" dataDxfId="187">
      <calculatedColumnFormula>INTMAG[[#This Row],[SR Comp 1]]+INTMAG[[#This Row],[SR Comp 2]]</calculatedColumnFormula>
    </tableColumn>
    <tableColumn id="21" xr3:uid="{B4840E9A-39CA-464E-A1BB-401ED58225AB}" name="Ranking" dataDxfId="186">
      <calculatedColumnFormula>RANK(INTMAG[[#This Row],[SR League Total]],INTMAG[SR League Total], 0)</calculatedColumnFormula>
    </tableColumn>
    <tableColumn id="22" xr3:uid="{3B838BBF-BD1F-B648-979F-8B1631FF6310}" name="VT Comp 1" dataDxfId="185"/>
    <tableColumn id="23" xr3:uid="{B89955B9-14F0-164F-8D81-A493921E78E1}" name="VT Comp 2" dataDxfId="184"/>
    <tableColumn id="26" xr3:uid="{CD979BE1-A9E3-DB4C-8715-D1B73B0D8C42}" name="VT League Total" dataDxfId="183">
      <calculatedColumnFormula>INTMAG[[#This Row],[VT Comp 1]]+INTMAG[[#This Row],[VT Comp 2]]</calculatedColumnFormula>
    </tableColumn>
    <tableColumn id="27" xr3:uid="{226E32F0-FDA2-EC4C-826A-628FF4F1B865}" name="Ranking 3" dataDxfId="182">
      <calculatedColumnFormula>RANK(INTMAG[[#This Row],[VT League Total]],INTMAG[VT League Total], 0)</calculatedColumnFormula>
    </tableColumn>
    <tableColumn id="28" xr3:uid="{74F6CE20-D5E4-FC4A-9C96-EA7E1A1EBE0A}" name="PB Comp 1" dataDxfId="181"/>
    <tableColumn id="29" xr3:uid="{E65187F1-83B7-E344-B2DB-138184D9DCED}" name="PB Comp 2" dataDxfId="180"/>
    <tableColumn id="32" xr3:uid="{2DAA3DEB-29B3-F141-A21D-0DAD25F3A3B7}" name="PB League Total" dataDxfId="179">
      <calculatedColumnFormula>INTMAG[[#This Row],[PB Comp 1]]+INTMAG[[#This Row],[PB Comp 2]]</calculatedColumnFormula>
    </tableColumn>
    <tableColumn id="33" xr3:uid="{70C6FBAC-BAD6-904C-A9F2-AE664CA1BB1C}" name="Ranking4" dataDxfId="178">
      <calculatedColumnFormula>RANK(INTMAG[[#This Row],[PB League Total]],INTMAG[PB League Total], 0)</calculatedColumnFormula>
    </tableColumn>
    <tableColumn id="34" xr3:uid="{1195CB4A-A084-5D48-9E97-E225F158FBE2}" name="HB Comp 1" dataDxfId="177"/>
    <tableColumn id="35" xr3:uid="{082B3381-FD20-4746-A5DF-980CC0E68D18}" name="HB Comp 2" dataDxfId="176"/>
    <tableColumn id="38" xr3:uid="{6FD23266-FBC2-9140-B15F-A1E156D42B2A}" name="HB League Total" dataDxfId="175">
      <calculatedColumnFormula>INTMAG[[#This Row],[HB Comp 1]]+INTMAG[[#This Row],[HB Comp 2]]</calculatedColumnFormula>
    </tableColumn>
    <tableColumn id="39" xr3:uid="{A6ADE9F3-46D5-E24A-A53B-ADBDD890E690}" name="Ranking 5" dataDxfId="174">
      <calculatedColumnFormula>RANK(INTMAG[[#This Row],[HB League Total]],INTMAG[HB League Total], 0)</calculatedColumnFormula>
    </tableColumn>
    <tableColumn id="40" xr3:uid="{1C18750A-305E-3C4D-B075-55FE1093F6CC}" name="AA Comp 1" dataDxfId="173"/>
    <tableColumn id="41" xr3:uid="{E68349D4-A423-0144-A9D8-E5851378D509}" name="AA Comp 2" dataDxfId="172"/>
    <tableColumn id="44" xr3:uid="{0F40206F-48F6-F849-BF0B-8FDE4BF8E253}" name="AA League Total" dataDxfId="171">
      <calculatedColumnFormula>INTMAG[[#This Row],[AA Comp 1]]+INTMAG[[#This Row],[AA Comp 2]]</calculatedColumnFormula>
    </tableColumn>
    <tableColumn id="45" xr3:uid="{9E743261-0313-7248-AA18-6455E0D9FB57}" name="Ranking6" dataDxfId="170">
      <calculatedColumnFormula>RANK(INTMAG[[#This Row],[AA League Total]],INTMAG[AA League Total], 0)</calculatedColumnFormula>
    </tableColumn>
  </tableColumns>
  <tableStyleInfo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DD3B09F-4729-1E40-9439-7922B5F39EC7}" name="NOVMAG" displayName="NOVMAG" ref="A1:W9" totalsRowShown="0" headerRowDxfId="169">
  <autoFilter ref="A1:W9" xr:uid="{EA36F0D9-C8CA-C347-9323-A87633EFDE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9">
    <sortCondition ref="W1:W9"/>
  </sortState>
  <tableColumns count="23">
    <tableColumn id="1" xr3:uid="{B157923C-942B-CD4F-AB07-8572E1318FA2}" name="Number" dataDxfId="168"/>
    <tableColumn id="2" xr3:uid="{880685DA-0F64-C947-B42E-A3B289527A23}" name="University / Institution"/>
    <tableColumn id="3" xr3:uid="{3F70732B-D4AE-7D48-8E84-754E1EB99FB1}" name="Name"/>
    <tableColumn id="4" xr3:uid="{1F56BD4F-7CAE-9746-B47B-0939A5A2290F}" name="FX Comp 1" dataDxfId="167"/>
    <tableColumn id="5" xr3:uid="{0FED61FA-D41F-1847-83F2-1D27E2622043}" name="FX Comp 2" dataDxfId="166"/>
    <tableColumn id="8" xr3:uid="{E71BDF05-9018-2445-ACBF-8911AAF713AB}" name="FX League Total" dataDxfId="165">
      <calculatedColumnFormula>NOVMAG[[#This Row],[FX Comp 1]]+NOVMAG[[#This Row],[FX Comp 2]]</calculatedColumnFormula>
    </tableColumn>
    <tableColumn id="9" xr3:uid="{28C7747F-90DD-5B49-A728-CC052318A2F6}" name="Ranking " dataDxfId="164">
      <calculatedColumnFormula>RANK(NOVMAG[[#This Row],[FX League Total]],NOVMAG[FX League Total], 0)</calculatedColumnFormula>
    </tableColumn>
    <tableColumn id="22" xr3:uid="{4991BA81-A8E4-8B48-8AA5-38C765FADE75}" name="VT Comp 1" dataDxfId="163"/>
    <tableColumn id="23" xr3:uid="{077BD40B-3DC4-D040-A9E7-6862AB26E434}" name="VT Comp 2" dataDxfId="162"/>
    <tableColumn id="26" xr3:uid="{9BF9704E-33F2-914D-A58F-FBEA86835493}" name="VT League Total" dataDxfId="161">
      <calculatedColumnFormula>NOVMAG[[#This Row],[VT Comp 1]]+NOVMAG[[#This Row],[VT Comp 2]]</calculatedColumnFormula>
    </tableColumn>
    <tableColumn id="27" xr3:uid="{363A51D5-540B-944D-8032-C8465DA61C3F}" name="Ranking 3" dataDxfId="160">
      <calculatedColumnFormula>RANK(NOVMAG[[#This Row],[VT League Total]],NOVMAG[VT League Total], 0)</calculatedColumnFormula>
    </tableColumn>
    <tableColumn id="28" xr3:uid="{4C9C381C-8856-9E48-A596-B2571C2A126D}" name="PB Comp 1" dataDxfId="159"/>
    <tableColumn id="29" xr3:uid="{03FFDB81-B930-2644-BC68-FD58E89CA29C}" name="PB Comp 2" dataDxfId="158"/>
    <tableColumn id="32" xr3:uid="{6459B53F-0114-C143-8351-8E0F595A4905}" name="PB League Total" dataDxfId="157">
      <calculatedColumnFormula>NOVMAG[[#This Row],[PB Comp 1]]+NOVMAG[[#This Row],[PB Comp 2]]</calculatedColumnFormula>
    </tableColumn>
    <tableColumn id="33" xr3:uid="{793D7345-70B6-2541-BE0B-2B86CC2A6164}" name="Ranking4" dataDxfId="156">
      <calculatedColumnFormula>RANK(NOVMAG[[#This Row],[PB League Total]],NOVMAG[PB League Total], 0)</calculatedColumnFormula>
    </tableColumn>
    <tableColumn id="34" xr3:uid="{10CF81E3-1BD1-964F-9C45-F20B57FD176B}" name="HB Comp 1" dataDxfId="155"/>
    <tableColumn id="35" xr3:uid="{9F32B059-13E4-1748-B354-7F4F67E61157}" name="HB Comp 2" dataDxfId="154"/>
    <tableColumn id="38" xr3:uid="{2DD3D28E-5356-A948-A5AA-58AA49E4CB3E}" name="HB League Total" dataDxfId="153">
      <calculatedColumnFormula>NOVMAG[[#This Row],[HB Comp 1]]+NOVMAG[[#This Row],[HB Comp 2]]</calculatedColumnFormula>
    </tableColumn>
    <tableColumn id="39" xr3:uid="{5B3C07AF-F3BB-C84C-82C3-C62232DF48E8}" name="Ranking 5" dataDxfId="152">
      <calculatedColumnFormula>RANK(NOVMAG[[#This Row],[HB League Total]],NOVMAG[HB League Total], 0)</calculatedColumnFormula>
    </tableColumn>
    <tableColumn id="40" xr3:uid="{960D36A3-3C04-7347-9C42-F899C430A8F7}" name="AA Comp 1" dataDxfId="151"/>
    <tableColumn id="41" xr3:uid="{57E0BA79-9E04-624B-884B-6A71EB949E69}" name="AA Comp 2" dataDxfId="150"/>
    <tableColumn id="44" xr3:uid="{111230C8-D47D-E042-9684-4634487B876A}" name="AA League Total" dataDxfId="149">
      <calculatedColumnFormula>NOVMAG[[#This Row],[AA Comp 1]]+NOVMAG[[#This Row],[AA Comp 2]]</calculatedColumnFormula>
    </tableColumn>
    <tableColumn id="45" xr3:uid="{FB596D57-79E3-364A-9141-05C2B6D611A6}" name="Ranking6" dataDxfId="148">
      <calculatedColumnFormula>RANK(NOVMAG[[#This Row],[AA League Total]],NOVMAG[AA League Total], 0)</calculatedColumnFormula>
    </tableColumn>
  </tableColumns>
  <tableStyleInfo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3F3353F-AA07-6D4B-80CE-1C1E69B02059}" name="FIGWAG" displayName="FIGWAG" ref="A1:W8" totalsRowShown="0" headerRowDxfId="147">
  <autoFilter ref="A1:W8" xr:uid="{A3F3353F-AA07-6D4B-80CE-1C1E69B020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sortState xmlns:xlrd2="http://schemas.microsoft.com/office/spreadsheetml/2017/richdata2" ref="A2:W8">
    <sortCondition ref="W1:W8"/>
  </sortState>
  <tableColumns count="23">
    <tableColumn id="1" xr3:uid="{F25A003B-A041-5743-B3FD-63D72CE8BE46}" name="Number" dataDxfId="146"/>
    <tableColumn id="2" xr3:uid="{52584489-73CA-D140-AE86-0C23788E9B6E}" name="University / Institution"/>
    <tableColumn id="3" xr3:uid="{644E85D2-0015-9A49-A458-F73B28684A02}" name="Name"/>
    <tableColumn id="4" xr3:uid="{B8A76B62-7B18-194F-BCB9-CBBFA1263AD0}" name="FX Comp 1"/>
    <tableColumn id="5" xr3:uid="{E9DF8EB1-5D29-6B47-B34D-A25A6522693E}" name="FX Comp 2"/>
    <tableColumn id="8" xr3:uid="{003698AA-A858-9D41-9292-B19759C0EA3C}" name="FX League Total" dataDxfId="145">
      <calculatedColumnFormula>FIGWAG[[#This Row],[FX Comp 1]]+FIGWAG[[#This Row],[FX Comp 2]]</calculatedColumnFormula>
    </tableColumn>
    <tableColumn id="9" xr3:uid="{E0BD7DE1-8981-9F4B-91DC-A542401BF28C}" name="FX Ranking" dataDxfId="144">
      <calculatedColumnFormula>RANK(FIGWAG[[#This Row],[FX League Total]],FIGWAG[FX League Total], 0)</calculatedColumnFormula>
    </tableColumn>
    <tableColumn id="10" xr3:uid="{B515D8C3-C426-D949-9580-07DA8BE1D408}" name="BB Comp 1"/>
    <tableColumn id="11" xr3:uid="{CFB008A7-45AF-FA46-A5A2-B9802DE31ECF}" name="BB Comp 2"/>
    <tableColumn id="14" xr3:uid="{A815C247-61ED-B948-8C2A-E61750877787}" name="BB League Total" dataDxfId="143">
      <calculatedColumnFormula>FIGWAG[[#This Row],[BB Comp 1]]+FIGWAG[[#This Row],[BB Comp 2]]</calculatedColumnFormula>
    </tableColumn>
    <tableColumn id="15" xr3:uid="{EBAF761D-DE7D-3E43-9601-456F573A5893}" name="BB Ranking" dataDxfId="142">
      <calculatedColumnFormula>RANK(FIGWAG[[#This Row],[BB League Total]],FIGWAG[BB League Total], 0)</calculatedColumnFormula>
    </tableColumn>
    <tableColumn id="16" xr3:uid="{302274D2-7BAF-A046-8ADF-CD506E935C68}" name="UB Comp 1"/>
    <tableColumn id="17" xr3:uid="{1BBA268F-C169-124E-8CE3-56793E2AB12F}" name="UB Comp 2"/>
    <tableColumn id="20" xr3:uid="{AD04219E-2B5A-B041-884B-590E27F7B3B1}" name="UB League Total" dataDxfId="141">
      <calculatedColumnFormula>FIGWAG[[#This Row],[UB Comp 1]]+FIGWAG[[#This Row],[UB Comp 2]]</calculatedColumnFormula>
    </tableColumn>
    <tableColumn id="21" xr3:uid="{1D2B66DD-E3B7-9E44-B3F6-097E34FB03F2}" name="UB Ranking" dataDxfId="140">
      <calculatedColumnFormula>RANK(FIGWAG[[#This Row],[UB League Total]],FIGWAG[UB League Total], 0)</calculatedColumnFormula>
    </tableColumn>
    <tableColumn id="22" xr3:uid="{756110EB-F4B0-634A-A2BF-6A42028E2080}" name="VT Comp 1"/>
    <tableColumn id="23" xr3:uid="{80604C1B-B88A-974C-9B0D-CB007C05F679}" name="VT Comp 2"/>
    <tableColumn id="26" xr3:uid="{14E49FD4-E854-7D42-ABEE-38430E54B6A1}" name="VT League Total" dataDxfId="139">
      <calculatedColumnFormula>FIGWAG[[#This Row],[VT Comp 1]]+FIGWAG[[#This Row],[VT Comp 2]]</calculatedColumnFormula>
    </tableColumn>
    <tableColumn id="27" xr3:uid="{F23723FC-B775-6F4C-A7B7-BAB7A1DB241A}" name="VT Ranking" dataDxfId="138">
      <calculatedColumnFormula>RANK(FIGWAG[[#This Row],[VT League Total]],FIGWAG[VT League Total], 0)</calculatedColumnFormula>
    </tableColumn>
    <tableColumn id="28" xr3:uid="{2FFDCD61-1F6B-2248-A999-0F0315BDCD93}" name="AA Comp 1"/>
    <tableColumn id="29" xr3:uid="{5124D845-BCC7-B248-8169-4EE06A47B842}" name="AA Comp 2"/>
    <tableColumn id="32" xr3:uid="{A7E2990B-2F35-CF42-9D27-CD8E6EF52B64}" name="AA League Total" dataDxfId="137">
      <calculatedColumnFormula>FIGWAG[[#This Row],[AA Comp 1]]+FIGWAG[[#This Row],[AA Comp 2]]</calculatedColumnFormula>
    </tableColumn>
    <tableColumn id="33" xr3:uid="{CE1659E0-7E45-E542-83E1-98B52C46B77C}" name="Ranking5" dataDxfId="136">
      <calculatedColumnFormula>RANK(FIGWAG[[#This Row],[AA League Total]],FIGWAG[AA League Total], 0)</calculatedColumnFormula>
    </tableColumn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707DB-9725-954E-9431-568EF940C9E8}">
  <sheetPr>
    <tabColor rgb="FF702FA1"/>
  </sheetPr>
  <dimension ref="A2:JD266"/>
  <sheetViews>
    <sheetView tabSelected="1" topLeftCell="T1" zoomScale="68" zoomScaleNormal="50" workbookViewId="0">
      <selection activeCell="K74" sqref="K74"/>
    </sheetView>
  </sheetViews>
  <sheetFormatPr baseColWidth="10" defaultColWidth="8.83203125" defaultRowHeight="16" x14ac:dyDescent="0.2"/>
  <cols>
    <col min="1" max="1" width="21.5" bestFit="1" customWidth="1"/>
    <col min="2" max="2" width="15.5" bestFit="1" customWidth="1"/>
    <col min="3" max="3" width="12.83203125" customWidth="1"/>
    <col min="4" max="4" width="17" bestFit="1" customWidth="1"/>
    <col min="5" max="5" width="21.5" bestFit="1" customWidth="1"/>
    <col min="6" max="6" width="15.5" bestFit="1" customWidth="1"/>
    <col min="7" max="7" width="17" bestFit="1" customWidth="1"/>
    <col min="8" max="8" width="12.5" bestFit="1" customWidth="1"/>
    <col min="9" max="9" width="12.33203125" bestFit="1" customWidth="1"/>
    <col min="10" max="10" width="25" bestFit="1" customWidth="1"/>
    <col min="11" max="11" width="16.33203125" bestFit="1" customWidth="1"/>
    <col min="12" max="12" width="13.83203125" bestFit="1" customWidth="1"/>
    <col min="13" max="13" width="12.83203125" bestFit="1" customWidth="1"/>
    <col min="14" max="14" width="10.83203125" bestFit="1" customWidth="1"/>
    <col min="15" max="15" width="12.6640625" bestFit="1" customWidth="1"/>
    <col min="16" max="17" width="12.1640625" bestFit="1" customWidth="1"/>
    <col min="18" max="18" width="11" bestFit="1" customWidth="1"/>
    <col min="19" max="19" width="13.6640625" bestFit="1" customWidth="1"/>
    <col min="20" max="20" width="16.1640625" bestFit="1" customWidth="1"/>
    <col min="21" max="21" width="14" bestFit="1" customWidth="1"/>
    <col min="22" max="23" width="12.1640625" bestFit="1" customWidth="1"/>
    <col min="24" max="24" width="15.6640625" bestFit="1" customWidth="1"/>
    <col min="25" max="25" width="21.6640625" customWidth="1"/>
    <col min="26" max="26" width="15.1640625" bestFit="1" customWidth="1"/>
    <col min="27" max="27" width="13" bestFit="1" customWidth="1"/>
    <col min="28" max="28" width="12.1640625" bestFit="1" customWidth="1"/>
    <col min="29" max="29" width="17.6640625" bestFit="1" customWidth="1"/>
    <col min="30" max="30" width="13.83203125" bestFit="1" customWidth="1"/>
    <col min="31" max="31" width="12.5" bestFit="1" customWidth="1"/>
    <col min="32" max="32" width="13" bestFit="1" customWidth="1"/>
    <col min="33" max="33" width="18.1640625" bestFit="1" customWidth="1"/>
    <col min="34" max="35" width="13.83203125" bestFit="1" customWidth="1"/>
    <col min="36" max="36" width="11.6640625" bestFit="1" customWidth="1"/>
    <col min="37" max="37" width="12.5" bestFit="1" customWidth="1"/>
    <col min="38" max="38" width="12.1640625" bestFit="1" customWidth="1"/>
    <col min="39" max="39" width="22" bestFit="1" customWidth="1"/>
    <col min="40" max="40" width="13.83203125" bestFit="1" customWidth="1"/>
    <col min="41" max="41" width="13" bestFit="1" customWidth="1"/>
    <col min="42" max="42" width="15.5" bestFit="1" customWidth="1"/>
    <col min="43" max="43" width="12.83203125" bestFit="1" customWidth="1"/>
    <col min="44" max="44" width="14.1640625" bestFit="1" customWidth="1"/>
    <col min="45" max="46" width="11.1640625" bestFit="1" customWidth="1"/>
    <col min="47" max="47" width="11.6640625" bestFit="1" customWidth="1"/>
    <col min="48" max="48" width="12.1640625" bestFit="1" customWidth="1"/>
    <col min="49" max="49" width="12.83203125" bestFit="1" customWidth="1"/>
    <col min="50" max="50" width="12.1640625" bestFit="1" customWidth="1"/>
    <col min="51" max="51" width="10.1640625" bestFit="1" customWidth="1"/>
    <col min="52" max="52" width="11.1640625" bestFit="1" customWidth="1"/>
    <col min="53" max="53" width="14.5" bestFit="1" customWidth="1"/>
    <col min="54" max="54" width="13.5" bestFit="1" customWidth="1"/>
    <col min="55" max="55" width="12.5" bestFit="1" customWidth="1"/>
    <col min="56" max="56" width="13.1640625" bestFit="1" customWidth="1"/>
    <col min="57" max="57" width="12.1640625" bestFit="1" customWidth="1"/>
    <col min="58" max="58" width="11.83203125" bestFit="1" customWidth="1"/>
    <col min="59" max="59" width="14.6640625" bestFit="1" customWidth="1"/>
    <col min="60" max="60" width="15.1640625" bestFit="1" customWidth="1"/>
    <col min="61" max="61" width="13.5" bestFit="1" customWidth="1"/>
    <col min="62" max="62" width="10.5" bestFit="1" customWidth="1"/>
    <col min="63" max="63" width="17.5" bestFit="1" customWidth="1"/>
    <col min="64" max="64" width="12" bestFit="1" customWidth="1"/>
    <col min="65" max="66" width="12.1640625" bestFit="1" customWidth="1"/>
    <col min="67" max="67" width="12.83203125" bestFit="1" customWidth="1"/>
    <col min="68" max="68" width="10.83203125" bestFit="1" customWidth="1"/>
    <col min="69" max="69" width="14.1640625" bestFit="1" customWidth="1"/>
    <col min="70" max="70" width="12.1640625" bestFit="1" customWidth="1"/>
    <col min="71" max="71" width="11" bestFit="1" customWidth="1"/>
    <col min="72" max="72" width="14.83203125" bestFit="1" customWidth="1"/>
    <col min="73" max="73" width="12.1640625" bestFit="1" customWidth="1"/>
    <col min="74" max="74" width="14.83203125" bestFit="1" customWidth="1"/>
    <col min="75" max="75" width="12.1640625" bestFit="1" customWidth="1"/>
    <col min="76" max="76" width="10.5" bestFit="1" customWidth="1"/>
    <col min="77" max="77" width="12.1640625" bestFit="1" customWidth="1"/>
    <col min="78" max="78" width="24.5" bestFit="1" customWidth="1"/>
    <col min="79" max="79" width="14.33203125" bestFit="1" customWidth="1"/>
    <col min="80" max="80" width="9.33203125" bestFit="1" customWidth="1"/>
    <col min="81" max="81" width="12.1640625" bestFit="1" customWidth="1"/>
    <col min="82" max="83" width="12.33203125" bestFit="1" customWidth="1"/>
    <col min="84" max="84" width="12.1640625" bestFit="1" customWidth="1"/>
    <col min="85" max="85" width="14" bestFit="1" customWidth="1"/>
    <col min="86" max="88" width="12.1640625" bestFit="1" customWidth="1"/>
    <col min="89" max="89" width="18.6640625" bestFit="1" customWidth="1"/>
    <col min="90" max="90" width="34" bestFit="1" customWidth="1"/>
    <col min="91" max="91" width="17.83203125" bestFit="1" customWidth="1"/>
    <col min="92" max="92" width="12.1640625" bestFit="1" customWidth="1"/>
    <col min="93" max="93" width="13" bestFit="1" customWidth="1"/>
    <col min="94" max="94" width="16.83203125" bestFit="1" customWidth="1"/>
    <col min="95" max="96" width="12.1640625" bestFit="1" customWidth="1"/>
    <col min="97" max="97" width="15.83203125" bestFit="1" customWidth="1"/>
    <col min="98" max="98" width="15.1640625" bestFit="1" customWidth="1"/>
    <col min="99" max="99" width="13.83203125" bestFit="1" customWidth="1"/>
    <col min="100" max="100" width="18" bestFit="1" customWidth="1"/>
    <col min="101" max="102" width="15" bestFit="1" customWidth="1"/>
    <col min="103" max="103" width="12.1640625" bestFit="1" customWidth="1"/>
    <col min="104" max="104" width="17.1640625" bestFit="1" customWidth="1"/>
    <col min="105" max="105" width="13.33203125" bestFit="1" customWidth="1"/>
    <col min="106" max="106" width="15" bestFit="1" customWidth="1"/>
    <col min="107" max="107" width="11.5" bestFit="1" customWidth="1"/>
    <col min="108" max="108" width="13.83203125" bestFit="1" customWidth="1"/>
    <col min="109" max="109" width="13" bestFit="1" customWidth="1"/>
    <col min="110" max="110" width="13.33203125" bestFit="1" customWidth="1"/>
    <col min="111" max="111" width="14.1640625" bestFit="1" customWidth="1"/>
    <col min="112" max="112" width="13.33203125" bestFit="1" customWidth="1"/>
    <col min="113" max="113" width="12.6640625" bestFit="1" customWidth="1"/>
    <col min="114" max="114" width="11.5" bestFit="1" customWidth="1"/>
    <col min="115" max="115" width="19.83203125" bestFit="1" customWidth="1"/>
    <col min="116" max="116" width="15.33203125" bestFit="1" customWidth="1"/>
    <col min="117" max="118" width="12.1640625" bestFit="1" customWidth="1"/>
    <col min="119" max="119" width="11.33203125" bestFit="1" customWidth="1"/>
    <col min="120" max="120" width="13.1640625" bestFit="1" customWidth="1"/>
    <col min="121" max="121" width="14.6640625" bestFit="1" customWidth="1"/>
    <col min="122" max="122" width="12.1640625" bestFit="1" customWidth="1"/>
    <col min="123" max="123" width="17.1640625" bestFit="1" customWidth="1"/>
    <col min="124" max="124" width="12.1640625" bestFit="1" customWidth="1"/>
    <col min="125" max="125" width="12.33203125" bestFit="1" customWidth="1"/>
    <col min="126" max="126" width="12.1640625" bestFit="1" customWidth="1"/>
    <col min="127" max="127" width="14.6640625" bestFit="1" customWidth="1"/>
    <col min="128" max="128" width="16.6640625" bestFit="1" customWidth="1"/>
    <col min="129" max="129" width="14.5" bestFit="1" customWidth="1"/>
    <col min="130" max="130" width="25" bestFit="1" customWidth="1"/>
    <col min="131" max="131" width="13.83203125" bestFit="1" customWidth="1"/>
    <col min="132" max="132" width="10.33203125" bestFit="1" customWidth="1"/>
    <col min="133" max="133" width="12.1640625" bestFit="1" customWidth="1"/>
    <col min="134" max="134" width="12.83203125" bestFit="1" customWidth="1"/>
    <col min="135" max="135" width="12.5" bestFit="1" customWidth="1"/>
    <col min="136" max="136" width="14.83203125" bestFit="1" customWidth="1"/>
    <col min="137" max="137" width="18.6640625" bestFit="1" customWidth="1"/>
    <col min="138" max="138" width="12.1640625" bestFit="1" customWidth="1"/>
    <col min="139" max="139" width="12.6640625" bestFit="1" customWidth="1"/>
    <col min="140" max="140" width="13.33203125" bestFit="1" customWidth="1"/>
    <col min="141" max="141" width="13.5" bestFit="1" customWidth="1"/>
    <col min="142" max="142" width="19.33203125" bestFit="1" customWidth="1"/>
    <col min="143" max="143" width="14.1640625" bestFit="1" customWidth="1"/>
    <col min="144" max="144" width="12" bestFit="1" customWidth="1"/>
    <col min="145" max="145" width="12.33203125" bestFit="1" customWidth="1"/>
    <col min="146" max="148" width="12.1640625" bestFit="1" customWidth="1"/>
    <col min="149" max="149" width="13.33203125" bestFit="1" customWidth="1"/>
    <col min="150" max="150" width="12.1640625" bestFit="1" customWidth="1"/>
    <col min="151" max="151" width="12.33203125" bestFit="1" customWidth="1"/>
    <col min="152" max="153" width="12.1640625" bestFit="1" customWidth="1"/>
    <col min="154" max="154" width="14.33203125" bestFit="1" customWidth="1"/>
    <col min="155" max="155" width="12.1640625" bestFit="1" customWidth="1"/>
    <col min="156" max="156" width="13.5" bestFit="1" customWidth="1"/>
    <col min="157" max="157" width="17.1640625" bestFit="1" customWidth="1"/>
    <col min="158" max="158" width="12.1640625" bestFit="1" customWidth="1"/>
    <col min="159" max="159" width="14" bestFit="1" customWidth="1"/>
    <col min="160" max="160" width="15.83203125" bestFit="1" customWidth="1"/>
    <col min="161" max="161" width="15.33203125" bestFit="1" customWidth="1"/>
    <col min="162" max="162" width="12.1640625" bestFit="1" customWidth="1"/>
    <col min="163" max="163" width="13" bestFit="1" customWidth="1"/>
    <col min="164" max="164" width="18.1640625" bestFit="1" customWidth="1"/>
    <col min="165" max="165" width="15" bestFit="1" customWidth="1"/>
    <col min="166" max="166" width="16" bestFit="1" customWidth="1"/>
    <col min="167" max="169" width="12.1640625" bestFit="1" customWidth="1"/>
    <col min="170" max="170" width="16.6640625" bestFit="1" customWidth="1"/>
    <col min="171" max="171" width="13.5" bestFit="1" customWidth="1"/>
    <col min="172" max="172" width="21.1640625" bestFit="1" customWidth="1"/>
    <col min="173" max="173" width="13.83203125" bestFit="1" customWidth="1"/>
    <col min="174" max="174" width="12.83203125" bestFit="1" customWidth="1"/>
    <col min="175" max="175" width="12.5" bestFit="1" customWidth="1"/>
    <col min="176" max="176" width="15.33203125" bestFit="1" customWidth="1"/>
    <col min="177" max="181" width="12.1640625" bestFit="1" customWidth="1"/>
    <col min="182" max="182" width="13.83203125" bestFit="1" customWidth="1"/>
    <col min="183" max="183" width="11.6640625" bestFit="1" customWidth="1"/>
    <col min="184" max="184" width="12.5" bestFit="1" customWidth="1"/>
    <col min="185" max="185" width="12.1640625" bestFit="1" customWidth="1"/>
    <col min="186" max="186" width="14.1640625" bestFit="1" customWidth="1"/>
    <col min="187" max="187" width="15.83203125" bestFit="1" customWidth="1"/>
    <col min="188" max="188" width="14.6640625" bestFit="1" customWidth="1"/>
    <col min="189" max="189" width="13.5" bestFit="1" customWidth="1"/>
    <col min="190" max="191" width="12.1640625" bestFit="1" customWidth="1"/>
    <col min="192" max="192" width="15.1640625" bestFit="1" customWidth="1"/>
    <col min="193" max="193" width="12.1640625" bestFit="1" customWidth="1"/>
    <col min="194" max="194" width="12.5" bestFit="1" customWidth="1"/>
    <col min="195" max="195" width="15.5" bestFit="1" customWidth="1"/>
    <col min="196" max="196" width="12.1640625" bestFit="1" customWidth="1"/>
    <col min="197" max="197" width="12.33203125" bestFit="1" customWidth="1"/>
    <col min="198" max="198" width="11" bestFit="1" customWidth="1"/>
    <col min="199" max="199" width="12.1640625" bestFit="1" customWidth="1"/>
    <col min="200" max="200" width="12.6640625" bestFit="1" customWidth="1"/>
    <col min="201" max="201" width="12.1640625" bestFit="1" customWidth="1"/>
    <col min="202" max="202" width="10.6640625" bestFit="1" customWidth="1"/>
    <col min="203" max="203" width="14.5" bestFit="1" customWidth="1"/>
    <col min="204" max="204" width="16.5" bestFit="1" customWidth="1"/>
    <col min="205" max="205" width="16.83203125" bestFit="1" customWidth="1"/>
    <col min="206" max="206" width="12.33203125" bestFit="1" customWidth="1"/>
    <col min="207" max="207" width="15.5" bestFit="1" customWidth="1"/>
    <col min="208" max="208" width="17.5" bestFit="1" customWidth="1"/>
    <col min="209" max="209" width="11.6640625" bestFit="1" customWidth="1"/>
    <col min="210" max="210" width="14.1640625" bestFit="1" customWidth="1"/>
    <col min="211" max="211" width="14.5" bestFit="1" customWidth="1"/>
    <col min="212" max="212" width="13.83203125" bestFit="1" customWidth="1"/>
    <col min="213" max="214" width="11" bestFit="1" customWidth="1"/>
    <col min="215" max="215" width="15" bestFit="1" customWidth="1"/>
    <col min="216" max="217" width="13.1640625" bestFit="1" customWidth="1"/>
    <col min="218" max="218" width="10" bestFit="1" customWidth="1"/>
    <col min="219" max="219" width="11.1640625" bestFit="1" customWidth="1"/>
    <col min="220" max="220" width="13.83203125" bestFit="1" customWidth="1"/>
    <col min="221" max="221" width="15.1640625" bestFit="1" customWidth="1"/>
    <col min="222" max="222" width="17.6640625" bestFit="1" customWidth="1"/>
    <col min="223" max="223" width="12.1640625" bestFit="1" customWidth="1"/>
    <col min="224" max="224" width="12.5" bestFit="1" customWidth="1"/>
    <col min="225" max="225" width="16.83203125" bestFit="1" customWidth="1"/>
    <col min="226" max="226" width="12.83203125" bestFit="1" customWidth="1"/>
    <col min="227" max="227" width="12.1640625" bestFit="1" customWidth="1"/>
    <col min="228" max="228" width="16.5" bestFit="1" customWidth="1"/>
    <col min="229" max="229" width="13.1640625" bestFit="1" customWidth="1"/>
    <col min="230" max="230" width="12.33203125" bestFit="1" customWidth="1"/>
    <col min="231" max="232" width="12.1640625" bestFit="1" customWidth="1"/>
    <col min="233" max="233" width="13.5" bestFit="1" customWidth="1"/>
    <col min="234" max="234" width="13.33203125" bestFit="1" customWidth="1"/>
    <col min="235" max="235" width="19.33203125" bestFit="1" customWidth="1"/>
    <col min="236" max="236" width="14.1640625" bestFit="1" customWidth="1"/>
    <col min="237" max="237" width="12.33203125" bestFit="1" customWidth="1"/>
    <col min="238" max="238" width="10.6640625" bestFit="1" customWidth="1"/>
    <col min="239" max="239" width="12.1640625" bestFit="1" customWidth="1"/>
    <col min="240" max="240" width="11.6640625" bestFit="1" customWidth="1"/>
    <col min="241" max="241" width="11.5" bestFit="1" customWidth="1"/>
    <col min="242" max="242" width="10.1640625" bestFit="1" customWidth="1"/>
    <col min="243" max="243" width="12.6640625" bestFit="1" customWidth="1"/>
    <col min="244" max="244" width="12.83203125" bestFit="1" customWidth="1"/>
    <col min="245" max="245" width="13.1640625" bestFit="1" customWidth="1"/>
    <col min="246" max="246" width="14.1640625" bestFit="1" customWidth="1"/>
    <col min="247" max="247" width="16.5" bestFit="1" customWidth="1"/>
    <col min="248" max="248" width="12.5" bestFit="1" customWidth="1"/>
    <col min="249" max="249" width="9" bestFit="1" customWidth="1"/>
    <col min="250" max="250" width="13.5" bestFit="1" customWidth="1"/>
    <col min="251" max="251" width="12.1640625" bestFit="1" customWidth="1"/>
    <col min="252" max="252" width="14.33203125" bestFit="1" customWidth="1"/>
    <col min="253" max="253" width="13.33203125" bestFit="1" customWidth="1"/>
    <col min="254" max="254" width="12.1640625" bestFit="1" customWidth="1"/>
    <col min="255" max="255" width="12.5" bestFit="1" customWidth="1"/>
    <col min="256" max="257" width="14.6640625" bestFit="1" customWidth="1"/>
    <col min="258" max="258" width="12.1640625" bestFit="1" customWidth="1"/>
    <col min="259" max="259" width="12.6640625" bestFit="1" customWidth="1"/>
    <col min="260" max="260" width="14.5" bestFit="1" customWidth="1"/>
    <col min="261" max="261" width="15" bestFit="1" customWidth="1"/>
    <col min="262" max="262" width="12.1640625" bestFit="1" customWidth="1"/>
    <col min="263" max="263" width="14.6640625" bestFit="1" customWidth="1"/>
    <col min="264" max="264" width="12.1640625" bestFit="1" customWidth="1"/>
    <col min="265" max="265" width="7" bestFit="1" customWidth="1"/>
  </cols>
  <sheetData>
    <row r="2" spans="1:29" x14ac:dyDescent="0.2">
      <c r="A2" t="s">
        <v>211</v>
      </c>
      <c r="B2" t="s">
        <v>0</v>
      </c>
      <c r="C2" t="s">
        <v>21</v>
      </c>
      <c r="E2" t="s">
        <v>211</v>
      </c>
      <c r="F2" t="s">
        <v>0</v>
      </c>
      <c r="G2" t="s">
        <v>22</v>
      </c>
    </row>
    <row r="3" spans="1:29" x14ac:dyDescent="0.2">
      <c r="A3" t="str" cm="1">
        <f t="array" ref="A3:A266">_xlfn.VSTACK(FIGMAG[University / Institution],FIGWAG[University / Institution],ADVPMAG[University / Institution],ADVPWAG[University / Institution], ADVMAG[University / Institution], ADVWAG[University / Institution], INTMAG[University / Institution], INTWAG[University / Institution], NOVMAG[University / Institution], NOVWAG[University / Institution])</f>
        <v>University of Manchester</v>
      </c>
      <c r="B3" t="str" cm="1">
        <f t="array" ref="B3:B266">_xlfn.VSTACK(FIGMAG[Name],FIGWAG[Name],ADVPMAG[Name],ADVPWAG[Name], ADVMAG[Name], ADVWAG[Name], INTMAG[Name], INTWAG[Name], NOVMAG[Name], NOVWAG[Name])</f>
        <v>Ben Julian</v>
      </c>
      <c r="C3" cm="1">
        <f t="array" ref="C3:C266">_xlfn.VSTACK(FIGMAG[AA Comp 1], FIGWAG[AA Comp 1], ADVPMAG[AA Comp 1], ADVPWAG[AA Comp 1], ADVMAG[AA Comp 1], ADVWAG[AA Comp 1], INTMAG[AA Comp 1], INTWAG[AA Comp 1], NOVMAG[AA Comp 1], NOVWAG[AA Comp 1])</f>
        <v>100</v>
      </c>
      <c r="E3" t="str" cm="1">
        <f t="array" ref="E3:E266">_xlfn.VSTACK(FIGMAG[University / Institution],FIGWAG[University / Institution],ADVPMAG[University / Institution],ADVPWAG[University / Institution], ADVMAG[University / Institution], ADVWAG[University / Institution], INTMAG[University / Institution], INTWAG[University / Institution], NOVMAG[University / Institution], NOVWAG[University / Institution])</f>
        <v>University of Manchester</v>
      </c>
      <c r="F3" t="str" cm="1">
        <f t="array" ref="F3:F266">_xlfn.VSTACK(FIGMAG[Name],FIGWAG[Name],ADVPMAG[Name],ADVPWAG[Name], ADVMAG[Name], ADVWAG[Name], INTMAG[Name], INTWAG[Name], NOVMAG[Name], NOVWAG[Name])</f>
        <v>Ben Julian</v>
      </c>
      <c r="G3" cm="1">
        <f t="array" ref="G3:G266">_xlfn.VSTACK(FIGMAG[AA Comp 2], FIGWAG[AA Comp 2], ADVPMAG[AA Comp 2], ADVPWAG[AA Comp 2], ADVMAG[AA Comp 2], ADVWAG[AA Comp 2], INTMAG[AA Comp 2], INTWAG[AA Comp 2], NOVMAG[AA Comp 2], NOVWAG[AA Comp 2])</f>
        <v>96.061269146608325</v>
      </c>
      <c r="J3" s="1"/>
    </row>
    <row r="4" spans="1:29" x14ac:dyDescent="0.2">
      <c r="A4" t="str">
        <v>University of Manchester</v>
      </c>
      <c r="B4" t="str">
        <v>Blake Eldridge</v>
      </c>
      <c r="C4" s="17">
        <v>95.089717757928639</v>
      </c>
      <c r="E4" t="str">
        <v>University of Manchester</v>
      </c>
      <c r="F4" t="str">
        <v>Blake Eldridge</v>
      </c>
      <c r="G4">
        <v>100</v>
      </c>
      <c r="J4" s="1" t="s">
        <v>211</v>
      </c>
      <c r="K4" t="s">
        <v>212</v>
      </c>
      <c r="L4" t="s">
        <v>213</v>
      </c>
      <c r="M4" t="s">
        <v>214</v>
      </c>
      <c r="N4" t="s">
        <v>215</v>
      </c>
      <c r="O4" t="s">
        <v>221</v>
      </c>
      <c r="P4" t="s">
        <v>222</v>
      </c>
      <c r="Q4" t="s">
        <v>223</v>
      </c>
      <c r="R4" t="s">
        <v>224</v>
      </c>
      <c r="S4" t="s">
        <v>225</v>
      </c>
      <c r="T4" t="s">
        <v>226</v>
      </c>
      <c r="U4" t="s">
        <v>227</v>
      </c>
      <c r="V4" t="s">
        <v>228</v>
      </c>
      <c r="W4" t="s">
        <v>216</v>
      </c>
    </row>
    <row r="5" spans="1:29" x14ac:dyDescent="0.2">
      <c r="A5" t="str">
        <v>Loughborough University</v>
      </c>
      <c r="B5" t="str">
        <v>Jacob Ryan</v>
      </c>
      <c r="C5" s="17">
        <v>95.465723215560601</v>
      </c>
      <c r="E5" t="str">
        <v>Loughborough University</v>
      </c>
      <c r="F5" t="str">
        <v>Jacob Ryan</v>
      </c>
      <c r="G5">
        <v>96.717724288840273</v>
      </c>
      <c r="J5" t="str">
        <f>J47</f>
        <v>Durham University</v>
      </c>
      <c r="K5">
        <f t="shared" ref="K5:K20" si="0">IFERROR(IF(LARGE(K47:JD47, 1), LARGE(K47:JD47, 1),"n/a"), "")</f>
        <v>93.116395494367964</v>
      </c>
      <c r="L5">
        <f t="shared" ref="L5:L20" si="1">IFERROR(IF(LARGE(K47:JD47, 2), LARGE(K47:JD47,2),"n/a"), "")</f>
        <v>91.365409622886858</v>
      </c>
      <c r="M5">
        <f>IFERROR(IF(LARGE(K47:JD47, 3), LARGE(K47:JD47,3),"n/a"), "")</f>
        <v>35.215053763440856</v>
      </c>
      <c r="N5">
        <f>IFERROR(IF(LARGE(K47:JD47, 4), LARGE(K47:JD47,4),"n/a"), "")</f>
        <v>30.241935483870964</v>
      </c>
      <c r="O5" t="str">
        <f t="shared" ref="O5:O20" si="2">IFERROR(IF(LARGE(K47:JD47, 5), LARGE(K47:JD47,5),"n/a"), "")</f>
        <v/>
      </c>
      <c r="P5" t="str">
        <f t="shared" ref="P5:P20" si="3">IFERROR(IF(LARGE(K47:JD47, 6), LARGE(K47:JD47,6),"n/a"), "")</f>
        <v/>
      </c>
      <c r="Q5" t="str">
        <f t="shared" ref="Q5:Q20" si="4">IFERROR(IF(LARGE(K47:JD47, 7), LARGE(K47:JD47,7),"n/a"), "")</f>
        <v/>
      </c>
      <c r="R5" t="str">
        <f t="shared" ref="R5:R20" si="5">IFERROR(IF(LARGE(K47:JD47, 8), LARGE(K47:JD47,8),"n/a"), "")</f>
        <v/>
      </c>
      <c r="S5" t="str">
        <f t="shared" ref="S5:S20" si="6">IFERROR(IF(LARGE(K47:JD47, 9), LARGE(K47:JD47,9),"n/a"), "")</f>
        <v/>
      </c>
      <c r="T5" t="str">
        <f t="shared" ref="T5:T20" si="7">IFERROR(IF(LARGE(K47:JD47, 10), LARGE(K47:JD47,10),"n/a"), "")</f>
        <v/>
      </c>
      <c r="U5" t="str">
        <f t="shared" ref="U5:U20" si="8">IFERROR(IF(LARGE(K47:JD47, 11), LARGE(K47:JD47,11),"n/a"), "")</f>
        <v/>
      </c>
      <c r="V5">
        <f>SUM(Table1[[#This Row],[Score 1]:[Score 11]])</f>
        <v>249.93879436456666</v>
      </c>
      <c r="W5">
        <f>RANK(V5, V$5:V$20,0)</f>
        <v>11</v>
      </c>
    </row>
    <row r="6" spans="1:29" x14ac:dyDescent="0.2">
      <c r="A6" t="str">
        <v>Loughborough University</v>
      </c>
      <c r="B6" t="str">
        <v>Ewan Mcilraith</v>
      </c>
      <c r="C6" s="17">
        <v>46.275642144341674</v>
      </c>
      <c r="E6" t="str">
        <v>Loughborough University</v>
      </c>
      <c r="F6" t="str">
        <v>Ewan Mcilraith</v>
      </c>
      <c r="G6">
        <v>49.963530269876003</v>
      </c>
      <c r="J6" t="str">
        <f>J48</f>
        <v>Leeds Beckett University</v>
      </c>
      <c r="K6">
        <f t="shared" si="0"/>
        <v>95.430107526881713</v>
      </c>
      <c r="L6">
        <f t="shared" si="1"/>
        <v>90.322580645161281</v>
      </c>
      <c r="M6">
        <f t="shared" ref="M6:M16" si="9">IFERROR(IF(LARGE(K48:FP48, 3), LARGE(K48:FP48,3),"n/a"), "")</f>
        <v>89.91935483870968</v>
      </c>
      <c r="N6">
        <f t="shared" ref="N6:N16" si="10">IFERROR(IF(LARGE(K48:FP48, 4), LARGE(K48:FP48,4),"n/a"), "")</f>
        <v>89.351851851851833</v>
      </c>
      <c r="O6">
        <f t="shared" si="2"/>
        <v>88.709677419354833</v>
      </c>
      <c r="P6">
        <f t="shared" si="3"/>
        <v>80.376344086021504</v>
      </c>
      <c r="Q6">
        <f t="shared" si="4"/>
        <v>38.047559449311635</v>
      </c>
      <c r="R6">
        <f t="shared" si="5"/>
        <v>28.785982478097623</v>
      </c>
      <c r="S6" t="str">
        <f t="shared" si="6"/>
        <v>n/a</v>
      </c>
      <c r="T6" t="str">
        <f t="shared" si="7"/>
        <v>n/a</v>
      </c>
      <c r="U6" t="str">
        <f t="shared" si="8"/>
        <v>n/a</v>
      </c>
      <c r="V6">
        <f>SUM(Table1[[#This Row],[Score 1]:[Score 11]])</f>
        <v>600.94345829539009</v>
      </c>
      <c r="W6">
        <f t="shared" ref="W6:W16" si="11">RANK(V6, V$5:V$16,0)</f>
        <v>9</v>
      </c>
    </row>
    <row r="7" spans="1:29" x14ac:dyDescent="0.2">
      <c r="A7" t="str">
        <v>Loughborough University</v>
      </c>
      <c r="B7" t="str">
        <v>William Calder</v>
      </c>
      <c r="C7" s="17">
        <v>33.794482080246233</v>
      </c>
      <c r="E7" t="str">
        <v>Loughborough University</v>
      </c>
      <c r="F7" t="str">
        <v>William Calder</v>
      </c>
      <c r="G7">
        <v>35.448577680525169</v>
      </c>
      <c r="J7" t="str">
        <f t="shared" ref="J7:J16" si="12">J49</f>
        <v>Loughborough University</v>
      </c>
      <c r="K7">
        <f t="shared" si="0"/>
        <v>100</v>
      </c>
      <c r="L7">
        <f t="shared" si="1"/>
        <v>97.976570820021294</v>
      </c>
      <c r="M7">
        <f t="shared" si="9"/>
        <v>97.916666666666657</v>
      </c>
      <c r="N7">
        <f t="shared" si="10"/>
        <v>95.465723215560601</v>
      </c>
      <c r="O7">
        <f t="shared" si="2"/>
        <v>94.986072423398312</v>
      </c>
      <c r="P7">
        <f t="shared" si="3"/>
        <v>94.986072423398298</v>
      </c>
      <c r="Q7">
        <f t="shared" si="4"/>
        <v>92.615769712140178</v>
      </c>
      <c r="R7">
        <f t="shared" si="5"/>
        <v>92.067620286085813</v>
      </c>
      <c r="S7">
        <f t="shared" si="6"/>
        <v>91.801075268817186</v>
      </c>
      <c r="T7">
        <f t="shared" si="7"/>
        <v>91.453229398663694</v>
      </c>
      <c r="U7">
        <f t="shared" si="8"/>
        <v>89.247311827956992</v>
      </c>
      <c r="V7">
        <f>SUM(Table1[[#This Row],[Score 1]:[Score 11]])</f>
        <v>1038.5161120427088</v>
      </c>
      <c r="W7">
        <f t="shared" si="11"/>
        <v>1</v>
      </c>
    </row>
    <row r="8" spans="1:29" x14ac:dyDescent="0.2">
      <c r="A8" t="str">
        <v>Loughborough University</v>
      </c>
      <c r="B8" t="str">
        <v>Filip Poczatek</v>
      </c>
      <c r="C8" s="17">
        <v>34.010248925132068</v>
      </c>
      <c r="E8" t="str">
        <v>Loughborough University</v>
      </c>
      <c r="F8" t="str">
        <v>Filip Poczatek</v>
      </c>
      <c r="G8">
        <v>33.187454412837347</v>
      </c>
      <c r="J8" t="str">
        <f t="shared" si="12"/>
        <v>Sheffield Hallam University</v>
      </c>
      <c r="K8">
        <f t="shared" si="0"/>
        <v>98.998748435544414</v>
      </c>
      <c r="L8">
        <f t="shared" si="1"/>
        <v>96.796657381615574</v>
      </c>
      <c r="M8">
        <f t="shared" si="9"/>
        <v>93.402777777777786</v>
      </c>
      <c r="N8">
        <f t="shared" si="10"/>
        <v>92.618384401114199</v>
      </c>
      <c r="O8">
        <f t="shared" si="2"/>
        <v>92.618384401114199</v>
      </c>
      <c r="P8">
        <f t="shared" si="3"/>
        <v>60.450563204005</v>
      </c>
      <c r="Q8">
        <f t="shared" si="4"/>
        <v>45.056320400500624</v>
      </c>
      <c r="R8">
        <f t="shared" si="5"/>
        <v>37.731481481481481</v>
      </c>
      <c r="S8" t="str">
        <f t="shared" si="6"/>
        <v>n/a</v>
      </c>
      <c r="T8" t="str">
        <f t="shared" si="7"/>
        <v>n/a</v>
      </c>
      <c r="U8" t="str">
        <f t="shared" si="8"/>
        <v>n/a</v>
      </c>
      <c r="V8">
        <f>SUM(Table1[[#This Row],[Score 1]:[Score 11]])</f>
        <v>617.67331748315337</v>
      </c>
      <c r="W8">
        <f t="shared" si="11"/>
        <v>8</v>
      </c>
    </row>
    <row r="9" spans="1:29" x14ac:dyDescent="0.2">
      <c r="A9" t="str">
        <v>Loughborough University</v>
      </c>
      <c r="B9" t="str">
        <v>Dani Barakov-Trankov</v>
      </c>
      <c r="C9" s="17">
        <v>0</v>
      </c>
      <c r="E9" t="str">
        <v>Loughborough University</v>
      </c>
      <c r="F9" t="str">
        <v>Dani Barakov-Trankov</v>
      </c>
      <c r="G9">
        <v>32.603938730853393</v>
      </c>
      <c r="J9" t="str">
        <f t="shared" si="12"/>
        <v>University of Edinburgh</v>
      </c>
      <c r="K9">
        <f t="shared" si="0"/>
        <v>99.749687108886107</v>
      </c>
      <c r="L9">
        <f t="shared" si="1"/>
        <v>96.755162241887902</v>
      </c>
      <c r="M9" t="str">
        <f t="shared" si="9"/>
        <v/>
      </c>
      <c r="N9" t="str">
        <f t="shared" si="10"/>
        <v/>
      </c>
      <c r="O9">
        <f t="shared" si="2"/>
        <v>86.483103879849793</v>
      </c>
      <c r="P9">
        <f t="shared" si="3"/>
        <v>63.829787234042549</v>
      </c>
      <c r="Q9" t="str">
        <f t="shared" si="4"/>
        <v/>
      </c>
      <c r="R9" t="str">
        <f t="shared" si="5"/>
        <v/>
      </c>
      <c r="S9" t="str">
        <f t="shared" si="6"/>
        <v/>
      </c>
      <c r="T9" t="str">
        <f t="shared" si="7"/>
        <v/>
      </c>
      <c r="U9" t="str">
        <f t="shared" si="8"/>
        <v/>
      </c>
      <c r="V9">
        <f>SUM(Table1[[#This Row],[Score 1]:[Score 11]])</f>
        <v>346.81774046466637</v>
      </c>
      <c r="W9">
        <f t="shared" si="11"/>
        <v>10</v>
      </c>
    </row>
    <row r="10" spans="1:29" x14ac:dyDescent="0.2">
      <c r="A10" t="str">
        <v>University of Liverpool</v>
      </c>
      <c r="B10" t="str">
        <v>Lily Baker</v>
      </c>
      <c r="C10" s="17">
        <v>100</v>
      </c>
      <c r="E10" t="str">
        <v>University of Liverpool</v>
      </c>
      <c r="F10" t="str">
        <v>Lily Baker</v>
      </c>
      <c r="G10">
        <v>98.78183831672203</v>
      </c>
      <c r="J10" t="str">
        <f t="shared" si="12"/>
        <v>University of Leeds</v>
      </c>
      <c r="K10">
        <f t="shared" si="0"/>
        <v>97.717149220489958</v>
      </c>
      <c r="L10">
        <f t="shared" si="1"/>
        <v>95.264623955431745</v>
      </c>
      <c r="M10">
        <f t="shared" si="9"/>
        <v>94.444444444444429</v>
      </c>
      <c r="N10">
        <f t="shared" si="10"/>
        <v>93.817204301075265</v>
      </c>
      <c r="O10">
        <f t="shared" si="2"/>
        <v>93.817204301075265</v>
      </c>
      <c r="P10">
        <f t="shared" si="3"/>
        <v>92.566815144766139</v>
      </c>
      <c r="Q10">
        <f t="shared" si="4"/>
        <v>90.188172043010738</v>
      </c>
      <c r="R10">
        <f t="shared" si="5"/>
        <v>90.112640801001248</v>
      </c>
      <c r="S10">
        <f t="shared" si="6"/>
        <v>89.922048997772819</v>
      </c>
      <c r="T10">
        <f t="shared" si="7"/>
        <v>89.51612903225805</v>
      </c>
      <c r="U10">
        <f t="shared" si="8"/>
        <v>85.236768802228397</v>
      </c>
      <c r="V10">
        <f>SUM(Table1[[#This Row],[Score 1]:[Score 11]])</f>
        <v>1012.603201043554</v>
      </c>
      <c r="W10">
        <f t="shared" si="11"/>
        <v>2</v>
      </c>
    </row>
    <row r="11" spans="1:29" x14ac:dyDescent="0.2">
      <c r="A11" t="str">
        <v>Loughborough University</v>
      </c>
      <c r="B11" t="str">
        <v>Jess Burton</v>
      </c>
      <c r="C11" s="17">
        <v>97.976570820021294</v>
      </c>
      <c r="E11" t="str">
        <v>Loughborough University</v>
      </c>
      <c r="F11" t="str">
        <v>Jess Burton</v>
      </c>
      <c r="G11">
        <v>97.231450719822803</v>
      </c>
      <c r="J11" t="str">
        <f t="shared" si="12"/>
        <v>University of Lincoln</v>
      </c>
      <c r="K11">
        <f t="shared" si="0"/>
        <v>100</v>
      </c>
      <c r="L11">
        <f t="shared" si="1"/>
        <v>99.074074074074062</v>
      </c>
      <c r="M11">
        <f t="shared" si="9"/>
        <v>90.994623655913969</v>
      </c>
      <c r="N11">
        <f t="shared" si="10"/>
        <v>87.365591397849457</v>
      </c>
      <c r="O11">
        <f t="shared" si="2"/>
        <v>90.994623655913969</v>
      </c>
      <c r="P11">
        <f t="shared" si="3"/>
        <v>87.365591397849457</v>
      </c>
      <c r="Q11">
        <f t="shared" si="4"/>
        <v>83.729662077596998</v>
      </c>
      <c r="R11">
        <f t="shared" si="5"/>
        <v>82.683741648106917</v>
      </c>
      <c r="S11">
        <f t="shared" si="6"/>
        <v>81.977471839799747</v>
      </c>
      <c r="T11">
        <f t="shared" si="7"/>
        <v>79.474342928660818</v>
      </c>
      <c r="U11">
        <f t="shared" si="8"/>
        <v>76.720901126408009</v>
      </c>
      <c r="V11">
        <f>SUM(Table1[[#This Row],[Score 1]:[Score 11]])</f>
        <v>960.38062380217332</v>
      </c>
      <c r="W11">
        <f t="shared" si="11"/>
        <v>5</v>
      </c>
    </row>
    <row r="12" spans="1:29" x14ac:dyDescent="0.2">
      <c r="A12" t="str">
        <v>Loughborough University</v>
      </c>
      <c r="B12" t="str">
        <v>Amelia Hughes</v>
      </c>
      <c r="C12" s="17">
        <v>87.859424920127793</v>
      </c>
      <c r="E12" t="str">
        <v>Loughborough University</v>
      </c>
      <c r="F12" t="str">
        <v>Amelia Hughes</v>
      </c>
      <c r="G12">
        <v>89.922480620155028</v>
      </c>
      <c r="J12" t="str">
        <f t="shared" si="12"/>
        <v>University of Liverpool</v>
      </c>
      <c r="K12">
        <f t="shared" si="0"/>
        <v>100</v>
      </c>
      <c r="L12">
        <f t="shared" si="1"/>
        <v>100</v>
      </c>
      <c r="M12">
        <f t="shared" si="9"/>
        <v>97.399219765929786</v>
      </c>
      <c r="N12">
        <f t="shared" si="10"/>
        <v>95.118898623279094</v>
      </c>
      <c r="O12">
        <f t="shared" si="2"/>
        <v>95.118898623279094</v>
      </c>
      <c r="P12">
        <f t="shared" si="3"/>
        <v>94.493116395494354</v>
      </c>
      <c r="Q12">
        <f t="shared" si="4"/>
        <v>91.93758127438231</v>
      </c>
      <c r="R12">
        <f t="shared" si="5"/>
        <v>88.61076345431789</v>
      </c>
      <c r="S12">
        <f t="shared" si="6"/>
        <v>88.440111420612794</v>
      </c>
      <c r="T12">
        <f t="shared" si="7"/>
        <v>59.073842302878596</v>
      </c>
      <c r="U12">
        <f t="shared" si="8"/>
        <v>13.370473537604454</v>
      </c>
      <c r="V12">
        <f>SUM(Table1[[#This Row],[Score 1]:[Score 11]])</f>
        <v>923.56290539777831</v>
      </c>
      <c r="W12">
        <f t="shared" si="11"/>
        <v>6</v>
      </c>
    </row>
    <row r="13" spans="1:29" x14ac:dyDescent="0.2">
      <c r="A13" t="str">
        <v>Northumbria University</v>
      </c>
      <c r="B13" t="str">
        <v>Ayesha Abdullahi</v>
      </c>
      <c r="C13" s="17">
        <v>0</v>
      </c>
      <c r="E13" t="str">
        <v>Northumbria University</v>
      </c>
      <c r="F13" t="str">
        <v>Ayesha Abdullahi</v>
      </c>
      <c r="G13">
        <v>100</v>
      </c>
      <c r="J13" t="str">
        <f t="shared" si="12"/>
        <v>University of Manchester</v>
      </c>
      <c r="K13">
        <f t="shared" si="0"/>
        <v>100</v>
      </c>
      <c r="L13">
        <f t="shared" si="1"/>
        <v>98.372966207759688</v>
      </c>
      <c r="M13">
        <f t="shared" si="9"/>
        <v>96.749024707412218</v>
      </c>
      <c r="N13">
        <f t="shared" si="10"/>
        <v>95.089717757928639</v>
      </c>
      <c r="O13">
        <f t="shared" si="2"/>
        <v>94.758064516129025</v>
      </c>
      <c r="P13">
        <f t="shared" si="3"/>
        <v>94.018205461638487</v>
      </c>
      <c r="Q13">
        <f t="shared" si="4"/>
        <v>90.897269180754222</v>
      </c>
      <c r="R13">
        <f t="shared" si="5"/>
        <v>87.499999999999986</v>
      </c>
      <c r="S13">
        <f t="shared" si="6"/>
        <v>84.677419354838705</v>
      </c>
      <c r="T13">
        <f t="shared" si="7"/>
        <v>82.184655396618993</v>
      </c>
      <c r="U13">
        <f t="shared" si="8"/>
        <v>54.838709677419352</v>
      </c>
      <c r="V13">
        <f>SUM(Table1[[#This Row],[Score 1]:[Score 11]])</f>
        <v>979.08603226049934</v>
      </c>
      <c r="W13">
        <f t="shared" si="11"/>
        <v>4</v>
      </c>
      <c r="Y13" s="1" t="s">
        <v>211</v>
      </c>
      <c r="Z13" t="s">
        <v>228</v>
      </c>
      <c r="AA13" t="s">
        <v>229</v>
      </c>
      <c r="AB13" t="s">
        <v>210</v>
      </c>
      <c r="AC13" t="s">
        <v>216</v>
      </c>
    </row>
    <row r="14" spans="1:29" x14ac:dyDescent="0.2">
      <c r="A14" t="str">
        <v>Loughborough University</v>
      </c>
      <c r="B14" t="str">
        <v>Mia Koll</v>
      </c>
      <c r="C14" s="17">
        <v>0</v>
      </c>
      <c r="E14" t="str">
        <v>Loughborough University</v>
      </c>
      <c r="F14" t="str">
        <v>Mia Koll</v>
      </c>
      <c r="G14">
        <v>97.342192691029894</v>
      </c>
      <c r="J14" t="str">
        <f t="shared" si="12"/>
        <v>University of Nottingham</v>
      </c>
      <c r="K14">
        <f t="shared" si="0"/>
        <v>100</v>
      </c>
      <c r="L14">
        <f t="shared" si="1"/>
        <v>98.273942093541194</v>
      </c>
      <c r="M14" t="str">
        <f t="shared" si="9"/>
        <v>n/a</v>
      </c>
      <c r="N14" t="str">
        <f t="shared" si="10"/>
        <v/>
      </c>
      <c r="O14" t="str">
        <f t="shared" si="2"/>
        <v>n/a</v>
      </c>
      <c r="P14" t="str">
        <f t="shared" si="3"/>
        <v>n/a</v>
      </c>
      <c r="Q14" t="str">
        <f t="shared" si="4"/>
        <v/>
      </c>
      <c r="R14" t="str">
        <f t="shared" si="5"/>
        <v/>
      </c>
      <c r="S14" t="str">
        <f t="shared" si="6"/>
        <v/>
      </c>
      <c r="T14" t="str">
        <f t="shared" si="7"/>
        <v/>
      </c>
      <c r="U14" t="str">
        <f t="shared" si="8"/>
        <v/>
      </c>
      <c r="V14">
        <f>SUM(Table1[[#This Row],[Score 1]:[Score 11]])</f>
        <v>198.27394209354119</v>
      </c>
      <c r="W14">
        <f t="shared" si="11"/>
        <v>12</v>
      </c>
      <c r="Y14" t="str">
        <f t="shared" ref="Y14:Y26" si="13">J5</f>
        <v>Durham University</v>
      </c>
      <c r="Z14">
        <f t="shared" ref="Z14:Z26" si="14">V5</f>
        <v>249.93879436456666</v>
      </c>
      <c r="AA14">
        <f t="shared" ref="AA14:AA26" si="15">V25</f>
        <v>0</v>
      </c>
      <c r="AB14">
        <f>SUM(Table3[[#This Row],[Comp 1 Total]:[Comp 2 Total]])</f>
        <v>249.93879436456666</v>
      </c>
      <c r="AC14">
        <f>RANK(AB14, AB$14:AB$29,0)</f>
        <v>15</v>
      </c>
    </row>
    <row r="15" spans="1:29" x14ac:dyDescent="0.2">
      <c r="A15" t="str">
        <v>Loughborough University</v>
      </c>
      <c r="B15" t="str">
        <v>Ella Rollings</v>
      </c>
      <c r="C15">
        <v>86.15548455804047</v>
      </c>
      <c r="E15" t="str">
        <v>Loughborough University</v>
      </c>
      <c r="F15" t="str">
        <v>Ella Rollings</v>
      </c>
      <c r="G15">
        <v>0</v>
      </c>
      <c r="J15" t="str">
        <f t="shared" si="12"/>
        <v>University of Sheffield</v>
      </c>
      <c r="K15">
        <f t="shared" si="0"/>
        <v>100</v>
      </c>
      <c r="L15">
        <f t="shared" si="1"/>
        <v>100</v>
      </c>
      <c r="M15">
        <f t="shared" si="9"/>
        <v>92.327698309492845</v>
      </c>
      <c r="N15">
        <f t="shared" si="10"/>
        <v>89.784946236559151</v>
      </c>
      <c r="O15">
        <f t="shared" si="2"/>
        <v>92.035398230088504</v>
      </c>
      <c r="P15">
        <f t="shared" si="3"/>
        <v>92.010022271714902</v>
      </c>
      <c r="Q15">
        <f t="shared" si="4"/>
        <v>89.784946236559151</v>
      </c>
      <c r="R15">
        <f t="shared" si="5"/>
        <v>88.669265033407569</v>
      </c>
      <c r="S15">
        <f t="shared" si="6"/>
        <v>87.694877505567931</v>
      </c>
      <c r="T15">
        <f t="shared" si="7"/>
        <v>87.61061946902656</v>
      </c>
      <c r="U15">
        <f t="shared" si="8"/>
        <v>86.55913978494624</v>
      </c>
      <c r="V15">
        <f>SUM(Table1[[#This Row],[Score 1]:[Score 11]])</f>
        <v>1006.4769130773627</v>
      </c>
      <c r="W15">
        <f t="shared" si="11"/>
        <v>3</v>
      </c>
      <c r="Y15" t="str">
        <f t="shared" si="13"/>
        <v>Leeds Beckett University</v>
      </c>
      <c r="Z15">
        <f t="shared" si="14"/>
        <v>600.94345829539009</v>
      </c>
      <c r="AA15">
        <f t="shared" si="15"/>
        <v>595.82964614914647</v>
      </c>
      <c r="AB15">
        <f>SUM(Table3[[#This Row],[Comp 1 Total]:[Comp 2 Total]])</f>
        <v>1196.7731044445366</v>
      </c>
      <c r="AC15">
        <f>RANK(AB15, AB$14:AB$29,0)</f>
        <v>9</v>
      </c>
    </row>
    <row r="16" spans="1:29" x14ac:dyDescent="0.2">
      <c r="A16" t="str">
        <v>University of Leicester</v>
      </c>
      <c r="B16" t="str">
        <v>Vinny Peries</v>
      </c>
      <c r="C16" s="17">
        <v>0</v>
      </c>
      <c r="E16" t="str">
        <v>University of Leicester</v>
      </c>
      <c r="F16" t="str">
        <v>Vinny Peries</v>
      </c>
      <c r="G16">
        <v>0</v>
      </c>
      <c r="J16" t="str">
        <f t="shared" si="12"/>
        <v>University of York</v>
      </c>
      <c r="K16">
        <f t="shared" si="0"/>
        <v>100</v>
      </c>
      <c r="L16">
        <f t="shared" si="1"/>
        <v>98.969933184855222</v>
      </c>
      <c r="M16">
        <f t="shared" si="9"/>
        <v>90.637191157347189</v>
      </c>
      <c r="N16">
        <f t="shared" si="10"/>
        <v>84.005376344086017</v>
      </c>
      <c r="O16">
        <f t="shared" si="2"/>
        <v>93.010752688172019</v>
      </c>
      <c r="P16">
        <f t="shared" si="3"/>
        <v>90.637191157347189</v>
      </c>
      <c r="Q16">
        <f t="shared" si="4"/>
        <v>84.005376344086017</v>
      </c>
      <c r="R16">
        <f t="shared" si="5"/>
        <v>79.84981226533165</v>
      </c>
      <c r="S16">
        <f t="shared" si="6"/>
        <v>78.598247809762185</v>
      </c>
      <c r="T16" t="str">
        <f t="shared" si="7"/>
        <v>n/a</v>
      </c>
      <c r="U16" t="str">
        <f t="shared" si="8"/>
        <v>n/a</v>
      </c>
      <c r="V16">
        <f>SUM(Table1[[#This Row],[Score 1]:[Score 11]])</f>
        <v>799.71388095098746</v>
      </c>
      <c r="W16">
        <f t="shared" si="11"/>
        <v>7</v>
      </c>
      <c r="Y16" t="str">
        <f t="shared" si="13"/>
        <v>Loughborough University</v>
      </c>
      <c r="Z16">
        <f t="shared" si="14"/>
        <v>1038.5161120427088</v>
      </c>
      <c r="AA16">
        <f t="shared" si="15"/>
        <v>1076.7579045619289</v>
      </c>
      <c r="AB16">
        <f>SUM(Table3[[#This Row],[Comp 1 Total]:[Comp 2 Total]])</f>
        <v>2115.2740166046378</v>
      </c>
      <c r="AC16">
        <f>RANK(AB16, AB$14:AB$29,0)</f>
        <v>1</v>
      </c>
    </row>
    <row r="17" spans="1:29" x14ac:dyDescent="0.2">
      <c r="A17" t="str">
        <v>University of Sheffield</v>
      </c>
      <c r="B17" t="str">
        <v>Alex Zervos</v>
      </c>
      <c r="C17" s="17">
        <v>100</v>
      </c>
      <c r="E17" t="str">
        <v>University of Sheffield</v>
      </c>
      <c r="F17" t="str">
        <v>Alex Zervos</v>
      </c>
      <c r="G17">
        <v>95.679567956795694</v>
      </c>
      <c r="J17" t="str">
        <f>J59</f>
        <v>Northumbria University</v>
      </c>
      <c r="K17" t="str">
        <f t="shared" si="0"/>
        <v>n/a</v>
      </c>
      <c r="L17" t="str">
        <f t="shared" si="1"/>
        <v>n/a</v>
      </c>
      <c r="M17" t="str">
        <f>IFERROR(IF(LARGE(59:59, 3), LARGE(59:59,3),"n/a"), "")</f>
        <v>n/a</v>
      </c>
      <c r="N17" t="str">
        <f>IFERROR(IF(LARGE(59:59, 4), LARGE(59:59,4),"n/a"), "")</f>
        <v>n/a</v>
      </c>
      <c r="O17" t="str">
        <f t="shared" si="2"/>
        <v>n/a</v>
      </c>
      <c r="P17" t="str">
        <f t="shared" si="3"/>
        <v>n/a</v>
      </c>
      <c r="Q17" t="str">
        <f t="shared" si="4"/>
        <v>n/a</v>
      </c>
      <c r="R17" t="str">
        <f t="shared" si="5"/>
        <v>n/a</v>
      </c>
      <c r="S17" t="str">
        <f t="shared" si="6"/>
        <v>n/a</v>
      </c>
      <c r="T17" t="str">
        <f t="shared" si="7"/>
        <v>n/a</v>
      </c>
      <c r="U17" t="str">
        <f t="shared" si="8"/>
        <v>n/a</v>
      </c>
      <c r="V17">
        <f>SUM(Table1[[#This Row],[Score 1]:[Score 11]])</f>
        <v>0</v>
      </c>
      <c r="W17">
        <f>RANK(V17, V$5:V$20,0)</f>
        <v>13</v>
      </c>
      <c r="Y17" t="str">
        <f t="shared" si="13"/>
        <v>Sheffield Hallam University</v>
      </c>
      <c r="Z17">
        <f t="shared" si="14"/>
        <v>617.67331748315337</v>
      </c>
      <c r="AA17">
        <f t="shared" si="15"/>
        <v>976.90481216995511</v>
      </c>
      <c r="AB17">
        <f>SUM(Table3[[#This Row],[Comp 1 Total]:[Comp 2 Total]])</f>
        <v>1594.5781296531086</v>
      </c>
      <c r="AC17">
        <f>RANK(AB17, AB$14:AB$25,0)</f>
        <v>7</v>
      </c>
    </row>
    <row r="18" spans="1:29" x14ac:dyDescent="0.2">
      <c r="A18" t="str">
        <v>Loughborough University</v>
      </c>
      <c r="B18" t="str">
        <v>James Chan</v>
      </c>
      <c r="C18" s="17">
        <v>85.160038797284173</v>
      </c>
      <c r="E18" t="str">
        <v>Loughborough University</v>
      </c>
      <c r="F18" t="str">
        <v>James Chan</v>
      </c>
      <c r="G18">
        <v>99.819981998199822</v>
      </c>
      <c r="J18" t="str">
        <f t="shared" ref="J18:J19" si="16">J60</f>
        <v>University of Leicester</v>
      </c>
      <c r="K18" t="str">
        <f t="shared" si="0"/>
        <v>n/a</v>
      </c>
      <c r="L18" t="str">
        <f t="shared" si="1"/>
        <v>n/a</v>
      </c>
      <c r="M18" t="str">
        <f>IFERROR(IF(LARGE(60:60, 3), LARGE(60:60,3),"n/a"), "")</f>
        <v>n/a</v>
      </c>
      <c r="N18" t="str">
        <f>IFERROR(IF(LARGE(60:60, 4), LARGE(60:60,4),"n/a"), "")</f>
        <v>n/a</v>
      </c>
      <c r="O18" t="str">
        <f t="shared" si="2"/>
        <v>n/a</v>
      </c>
      <c r="P18" t="str">
        <f t="shared" si="3"/>
        <v>n/a</v>
      </c>
      <c r="Q18" t="str">
        <f t="shared" si="4"/>
        <v>n/a</v>
      </c>
      <c r="R18" t="str">
        <f t="shared" si="5"/>
        <v/>
      </c>
      <c r="S18" t="str">
        <f t="shared" si="6"/>
        <v/>
      </c>
      <c r="T18" t="str">
        <f t="shared" si="7"/>
        <v/>
      </c>
      <c r="U18" t="str">
        <f t="shared" si="8"/>
        <v/>
      </c>
      <c r="V18">
        <f>SUM(Table1[[#This Row],[Score 1]:[Score 11]])</f>
        <v>0</v>
      </c>
      <c r="W18">
        <f t="shared" ref="W18:W19" si="17">RANK(V18, V$5:V$19,0)</f>
        <v>13</v>
      </c>
      <c r="Y18" t="str">
        <f t="shared" si="13"/>
        <v>University of Edinburgh</v>
      </c>
      <c r="Z18">
        <f t="shared" si="14"/>
        <v>346.81774046466637</v>
      </c>
      <c r="AA18">
        <f t="shared" si="15"/>
        <v>0</v>
      </c>
      <c r="AB18">
        <f>SUM(Table3[[#This Row],[Comp 1 Total]:[Comp 2 Total]])</f>
        <v>346.81774046466637</v>
      </c>
      <c r="AC18">
        <f t="shared" ref="AC18:AC26" si="18">RANK(AB18, AB$14:AB$29,0)</f>
        <v>13</v>
      </c>
    </row>
    <row r="19" spans="1:29" x14ac:dyDescent="0.2">
      <c r="A19" t="str">
        <v>Loughborough University</v>
      </c>
      <c r="B19" t="str">
        <v>Jack Sumpter</v>
      </c>
      <c r="C19" s="17">
        <v>80.79534432589719</v>
      </c>
      <c r="E19" t="str">
        <v>Loughborough University</v>
      </c>
      <c r="F19" t="str">
        <v>Jack Sumpter</v>
      </c>
      <c r="G19">
        <v>81.188118811881196</v>
      </c>
      <c r="J19" t="str">
        <f t="shared" si="16"/>
        <v>Nottingham Trent University</v>
      </c>
      <c r="K19" t="str">
        <f t="shared" si="0"/>
        <v>n/a</v>
      </c>
      <c r="L19" t="str">
        <f t="shared" si="1"/>
        <v>n/a</v>
      </c>
      <c r="M19" t="str">
        <f>IFERROR(IF(LARGE(K61:FP61, 3), LARGE(K61:FP61,3),"n/a"), "")</f>
        <v>n/a</v>
      </c>
      <c r="N19" t="str">
        <f>IFERROR(IF(LARGE(K61:FP61, 4), LARGE(K61:FP61,4),"n/a"), "")</f>
        <v>n/a</v>
      </c>
      <c r="O19" t="str">
        <f t="shared" si="2"/>
        <v>n/a</v>
      </c>
      <c r="P19" t="str">
        <f t="shared" si="3"/>
        <v/>
      </c>
      <c r="Q19" t="str">
        <f t="shared" si="4"/>
        <v/>
      </c>
      <c r="R19" t="str">
        <f t="shared" si="5"/>
        <v/>
      </c>
      <c r="S19" t="str">
        <f t="shared" si="6"/>
        <v/>
      </c>
      <c r="T19" t="str">
        <f t="shared" si="7"/>
        <v/>
      </c>
      <c r="U19" t="str">
        <f t="shared" si="8"/>
        <v/>
      </c>
      <c r="V19">
        <f>SUM(Table1[[#This Row],[Score 1]:[Score 11]])</f>
        <v>0</v>
      </c>
      <c r="W19">
        <f t="shared" si="17"/>
        <v>13</v>
      </c>
      <c r="Y19" t="str">
        <f t="shared" si="13"/>
        <v>University of Leeds</v>
      </c>
      <c r="Z19">
        <f t="shared" si="14"/>
        <v>1012.603201043554</v>
      </c>
      <c r="AA19">
        <f t="shared" si="15"/>
        <v>997.76027047374259</v>
      </c>
      <c r="AB19">
        <f>SUM(Table3[[#This Row],[Comp 1 Total]:[Comp 2 Total]])</f>
        <v>2010.3634715172966</v>
      </c>
      <c r="AC19">
        <f t="shared" si="18"/>
        <v>4</v>
      </c>
    </row>
    <row r="20" spans="1:29" x14ac:dyDescent="0.2">
      <c r="A20" t="str">
        <v>University of Lincoln</v>
      </c>
      <c r="B20" t="str">
        <v>Lucas Ramirez-Capes</v>
      </c>
      <c r="C20" s="17">
        <v>61.978661493695441</v>
      </c>
      <c r="E20" t="str">
        <v>University of Lincoln</v>
      </c>
      <c r="F20" t="str">
        <v>Lucas Ramirez-Capes</v>
      </c>
      <c r="G20">
        <v>97.029702970297052</v>
      </c>
      <c r="J20" t="str">
        <f t="shared" ref="J20:J22" si="19">J62</f>
        <v>Keele University</v>
      </c>
      <c r="K20" t="str">
        <f t="shared" si="0"/>
        <v>n/a</v>
      </c>
      <c r="L20" t="str">
        <f t="shared" si="1"/>
        <v>n/a</v>
      </c>
      <c r="M20" t="str">
        <f t="shared" ref="M20:M22" si="20">IFERROR(IF(LARGE(K62:FP62, 3), LARGE(K62:FP62,3),"n/a"), "")</f>
        <v/>
      </c>
      <c r="N20" t="str">
        <f t="shared" ref="N20:N22" si="21">IFERROR(IF(LARGE(K62:FP62, 4), LARGE(K62:FP62,4),"n/a"), "")</f>
        <v/>
      </c>
      <c r="O20" t="str">
        <f t="shared" si="2"/>
        <v>n/a</v>
      </c>
      <c r="P20" t="str">
        <f t="shared" si="3"/>
        <v>n/a</v>
      </c>
      <c r="Q20" t="str">
        <f t="shared" si="4"/>
        <v>n/a</v>
      </c>
      <c r="R20" t="str">
        <f t="shared" si="5"/>
        <v>n/a</v>
      </c>
      <c r="S20" t="str">
        <f t="shared" si="6"/>
        <v>n/a</v>
      </c>
      <c r="T20" t="str">
        <f t="shared" si="7"/>
        <v>n/a</v>
      </c>
      <c r="U20" t="str">
        <f t="shared" si="8"/>
        <v>n/a</v>
      </c>
      <c r="V20">
        <f>SUM(Table1[[#This Row],[Score 1]:[Score 11]])</f>
        <v>0</v>
      </c>
      <c r="W20">
        <f t="shared" ref="W20" si="22">RANK(V20, V$5:V$22,0)</f>
        <v>13</v>
      </c>
      <c r="Y20" t="str">
        <f t="shared" si="13"/>
        <v>University of Lincoln</v>
      </c>
      <c r="Z20">
        <f t="shared" si="14"/>
        <v>960.38062380217332</v>
      </c>
      <c r="AA20">
        <f t="shared" si="15"/>
        <v>970.71635913173839</v>
      </c>
      <c r="AB20">
        <f>SUM(Table3[[#This Row],[Comp 1 Total]:[Comp 2 Total]])</f>
        <v>1931.0969829339117</v>
      </c>
      <c r="AC20">
        <f t="shared" si="18"/>
        <v>6</v>
      </c>
    </row>
    <row r="21" spans="1:29" x14ac:dyDescent="0.2">
      <c r="A21" t="str">
        <v>University of Leeds</v>
      </c>
      <c r="B21" t="str">
        <v>Hugh Hutchinson</v>
      </c>
      <c r="C21" s="17">
        <v>71.48399612027157</v>
      </c>
      <c r="E21" t="str">
        <v>University of Leeds</v>
      </c>
      <c r="F21" t="str">
        <v>Hugh Hutchinson</v>
      </c>
      <c r="G21">
        <v>59.135913591359149</v>
      </c>
      <c r="J21">
        <f t="shared" si="19"/>
        <v>0</v>
      </c>
      <c r="K21" t="str">
        <f t="shared" ref="K21:K22" si="23">IFERROR(IF(LARGE(K63:FP63, 1), LARGE(K63:FP63, 1),"n/a"), "")</f>
        <v/>
      </c>
      <c r="L21" t="str">
        <f t="shared" ref="L21:L22" si="24">IFERROR(IF(LARGE(K63:FP63, 2), LARGE(K63:FP63,2),"n/a"), "")</f>
        <v/>
      </c>
      <c r="M21" t="str">
        <f t="shared" si="20"/>
        <v/>
      </c>
      <c r="N21" t="str">
        <f t="shared" si="21"/>
        <v/>
      </c>
      <c r="O21" t="str">
        <f t="shared" ref="O21:O22" si="25">IFERROR(IF(LARGE(K63:FP63, 5), LARGE(K63:FP63,5),"n/a"), "")</f>
        <v/>
      </c>
      <c r="P21" t="str">
        <f t="shared" ref="P21:P22" si="26">IFERROR(IF(LARGE(K63:FP63, 6), LARGE(K63:FP63,6),"n/a"), "")</f>
        <v/>
      </c>
      <c r="Q21" t="str">
        <f t="shared" ref="Q21:Q22" si="27">IFERROR(IF(LARGE(K63:FP63, 7), LARGE(K63:FP63,7),"n/a"), "")</f>
        <v/>
      </c>
      <c r="R21" t="str">
        <f t="shared" ref="R21:R22" si="28">IFERROR(IF(LARGE(K63:FP63, 8), LARGE(K63:FP63,8),"n/a"), "")</f>
        <v/>
      </c>
      <c r="S21" t="str">
        <f t="shared" ref="S21:S22" si="29">IFERROR(IF(LARGE(K63:FP63, 9), LARGE(K63:FP63,9),"n/a"), "")</f>
        <v/>
      </c>
      <c r="T21" t="str">
        <f t="shared" ref="T21:T22" si="30">IFERROR(IF(LARGE(K63:FP63, 10), LARGE(K63:FP63,10),"n/a"), "")</f>
        <v/>
      </c>
      <c r="U21" t="str">
        <f t="shared" ref="U21:U22" si="31">IFERROR(IF(LARGE(K63:FP63, 11), LARGE(K63:FP63,11),"n/a"), "")</f>
        <v/>
      </c>
      <c r="Y21" t="str">
        <f t="shared" si="13"/>
        <v>University of Liverpool</v>
      </c>
      <c r="Z21">
        <f t="shared" si="14"/>
        <v>923.56290539777831</v>
      </c>
      <c r="AA21">
        <f t="shared" si="15"/>
        <v>1030.6207302831801</v>
      </c>
      <c r="AB21">
        <f>SUM(Table3[[#This Row],[Comp 1 Total]:[Comp 2 Total]])</f>
        <v>1954.1836356809586</v>
      </c>
      <c r="AC21">
        <f t="shared" si="18"/>
        <v>5</v>
      </c>
    </row>
    <row r="22" spans="1:29" x14ac:dyDescent="0.2">
      <c r="A22" t="str">
        <v>Northumbria University</v>
      </c>
      <c r="B22" t="str">
        <v>William Johnson</v>
      </c>
      <c r="C22" s="17">
        <v>0</v>
      </c>
      <c r="E22" t="str">
        <v>Northumbria University</v>
      </c>
      <c r="F22" t="str">
        <v>William Johnson</v>
      </c>
      <c r="G22">
        <v>100</v>
      </c>
      <c r="J22">
        <f t="shared" si="19"/>
        <v>0</v>
      </c>
      <c r="K22" t="str">
        <f t="shared" si="23"/>
        <v/>
      </c>
      <c r="L22" t="str">
        <f t="shared" si="24"/>
        <v/>
      </c>
      <c r="M22" t="str">
        <f t="shared" si="20"/>
        <v/>
      </c>
      <c r="N22" t="str">
        <f t="shared" si="21"/>
        <v/>
      </c>
      <c r="O22" t="str">
        <f t="shared" si="25"/>
        <v/>
      </c>
      <c r="P22" t="str">
        <f t="shared" si="26"/>
        <v/>
      </c>
      <c r="Q22" t="str">
        <f t="shared" si="27"/>
        <v/>
      </c>
      <c r="R22" t="str">
        <f t="shared" si="28"/>
        <v/>
      </c>
      <c r="S22" t="str">
        <f t="shared" si="29"/>
        <v/>
      </c>
      <c r="T22" t="str">
        <f t="shared" si="30"/>
        <v/>
      </c>
      <c r="U22" t="str">
        <f t="shared" si="31"/>
        <v/>
      </c>
      <c r="Y22" t="str">
        <f t="shared" si="13"/>
        <v>University of Manchester</v>
      </c>
      <c r="Z22">
        <f t="shared" si="14"/>
        <v>979.08603226049934</v>
      </c>
      <c r="AA22">
        <f t="shared" si="15"/>
        <v>1032.2525575036384</v>
      </c>
      <c r="AB22">
        <f>SUM(Table3[[#This Row],[Comp 1 Total]:[Comp 2 Total]])</f>
        <v>2011.3385897641379</v>
      </c>
      <c r="AC22">
        <f t="shared" si="18"/>
        <v>3</v>
      </c>
    </row>
    <row r="23" spans="1:29" x14ac:dyDescent="0.2">
      <c r="A23" t="str">
        <v>University of Lincoln</v>
      </c>
      <c r="B23" t="str">
        <v>Dan Jones</v>
      </c>
      <c r="C23" s="17">
        <v>0</v>
      </c>
      <c r="E23" t="str">
        <v>University of Lincoln</v>
      </c>
      <c r="F23" t="str">
        <v>Dan Jones</v>
      </c>
      <c r="G23">
        <v>89.198919891989206</v>
      </c>
      <c r="Y23" t="str">
        <f t="shared" si="13"/>
        <v>University of Nottingham</v>
      </c>
      <c r="Z23">
        <f t="shared" si="14"/>
        <v>198.27394209354119</v>
      </c>
      <c r="AA23">
        <f t="shared" si="15"/>
        <v>0</v>
      </c>
      <c r="AB23">
        <f>SUM(Table3[[#This Row],[Comp 1 Total]:[Comp 2 Total]])</f>
        <v>198.27394209354119</v>
      </c>
      <c r="AC23">
        <f t="shared" si="18"/>
        <v>16</v>
      </c>
    </row>
    <row r="24" spans="1:29" x14ac:dyDescent="0.2">
      <c r="A24" t="str">
        <v>University of Sheffield</v>
      </c>
      <c r="B24" t="str">
        <v>Adam Chaib</v>
      </c>
      <c r="C24" s="17">
        <v>0</v>
      </c>
      <c r="E24" t="str">
        <v>University of Sheffield</v>
      </c>
      <c r="F24" t="str">
        <v>Adam Chaib</v>
      </c>
      <c r="G24">
        <v>76.147614761476149</v>
      </c>
      <c r="J24" s="1" t="s">
        <v>211</v>
      </c>
      <c r="K24" t="s">
        <v>212</v>
      </c>
      <c r="L24" t="s">
        <v>213</v>
      </c>
      <c r="M24" t="s">
        <v>214</v>
      </c>
      <c r="N24" t="s">
        <v>215</v>
      </c>
      <c r="O24" t="s">
        <v>221</v>
      </c>
      <c r="P24" t="s">
        <v>222</v>
      </c>
      <c r="Q24" t="s">
        <v>223</v>
      </c>
      <c r="R24" t="s">
        <v>224</v>
      </c>
      <c r="S24" t="s">
        <v>225</v>
      </c>
      <c r="T24" t="s">
        <v>226</v>
      </c>
      <c r="U24" t="s">
        <v>227</v>
      </c>
      <c r="V24" t="s">
        <v>229</v>
      </c>
      <c r="W24" t="s">
        <v>216</v>
      </c>
      <c r="Y24" t="str">
        <f t="shared" si="13"/>
        <v>University of Sheffield</v>
      </c>
      <c r="Z24">
        <f t="shared" si="14"/>
        <v>1006.4769130773627</v>
      </c>
      <c r="AA24">
        <f t="shared" si="15"/>
        <v>1008.7122144219937</v>
      </c>
      <c r="AB24">
        <f>SUM(Table3[[#This Row],[Comp 1 Total]:[Comp 2 Total]])</f>
        <v>2015.1891274993563</v>
      </c>
      <c r="AC24">
        <f t="shared" si="18"/>
        <v>2</v>
      </c>
    </row>
    <row r="25" spans="1:29" x14ac:dyDescent="0.2">
      <c r="A25" t="str">
        <v>University of Nottingham</v>
      </c>
      <c r="B25" t="str">
        <v>Joe Dodson</v>
      </c>
      <c r="C25" s="17">
        <v>61.493695441319119</v>
      </c>
      <c r="E25" t="str">
        <v>University of Nottingham</v>
      </c>
      <c r="F25" t="str">
        <v>Joe Dodson</v>
      </c>
      <c r="G25">
        <v>0</v>
      </c>
      <c r="J25" t="str">
        <f t="shared" ref="J25:J37" si="32">J69</f>
        <v>Durham University</v>
      </c>
      <c r="K25" t="str">
        <f t="shared" ref="K25:K41" si="33">IFERROR(IF(LARGE(K69:JD69, 1), LARGE(K69:JD69, 1),"n/a"), "")</f>
        <v>n/a</v>
      </c>
      <c r="L25" t="str">
        <f t="shared" ref="L25:L41" si="34">IFERROR(IF(LARGE(K69:JD69, 2), LARGE(K69:JD69,2),"n/a"), "")</f>
        <v>n/a</v>
      </c>
      <c r="M25" t="str">
        <f t="shared" ref="M25:M41" si="35">IFERROR(IF(LARGE(K69:JD69, 3), LARGE(K69:JD69,3),"n/a"), "")</f>
        <v>n/a</v>
      </c>
      <c r="N25" t="str">
        <f t="shared" ref="N25:N41" si="36">IFERROR(IF(LARGE(K69:JD69, 4), LARGE(K69:JD69,4),"n/a"), "")</f>
        <v>n/a</v>
      </c>
      <c r="O25" t="str">
        <f t="shared" ref="O25:O41" si="37">IFERROR(IF(LARGE(K69:JD69, 5), LARGE(K69:JD69,5),"n/a"), "")</f>
        <v/>
      </c>
      <c r="P25" t="str">
        <f t="shared" ref="P25:P41" si="38">IFERROR(IF(LARGE(K69:JD69, 6), LARGE(K69:JD69,6),"n/a"), "")</f>
        <v/>
      </c>
      <c r="Q25" t="str">
        <f t="shared" ref="Q25:Q41" si="39">IFERROR(IF(LARGE(K69:JD69, 7), LARGE(K69:JD69,7),"n/a"), "")</f>
        <v/>
      </c>
      <c r="R25" t="str">
        <f t="shared" ref="R25:R41" si="40">IFERROR(IF(LARGE(K69:JD69, 8), LARGE(K69:JD69,8),"n/a"), "")</f>
        <v/>
      </c>
      <c r="S25" t="str">
        <f t="shared" ref="S25:S41" si="41">IFERROR(IF(LARGE(K69:JD69, 9), LARGE(K69:JD69,9),"n/a"), "")</f>
        <v/>
      </c>
      <c r="T25" t="str">
        <f t="shared" ref="T25:T41" si="42">IFERROR(IF(LARGE(K69:JD69, 10), LARGE(K69:JD69,10),"n/a"), "")</f>
        <v/>
      </c>
      <c r="U25" t="str">
        <f t="shared" ref="U25:U41" si="43">IFERROR(IF(LARGE(K69:JD69, 11), LARGE(K69:JD69,11),"n/a"), "")</f>
        <v/>
      </c>
      <c r="V25">
        <f>SUM(Table2[[#This Row],[Score 1]:[Score 11]])</f>
        <v>0</v>
      </c>
      <c r="W25">
        <f t="shared" ref="W25:W36" si="44">RANK(V25, V$25:V$36,0)</f>
        <v>10</v>
      </c>
      <c r="Y25" t="str">
        <f t="shared" si="13"/>
        <v>University of York</v>
      </c>
      <c r="Z25">
        <f t="shared" si="14"/>
        <v>799.71388095098746</v>
      </c>
      <c r="AA25">
        <f t="shared" si="15"/>
        <v>571.17608952540695</v>
      </c>
      <c r="AB25">
        <f>SUM(Table3[[#This Row],[Comp 1 Total]:[Comp 2 Total]])</f>
        <v>1370.8899704763944</v>
      </c>
      <c r="AC25">
        <f t="shared" si="18"/>
        <v>8</v>
      </c>
    </row>
    <row r="26" spans="1:29" x14ac:dyDescent="0.2">
      <c r="A26" t="str">
        <v>University of Liverpool</v>
      </c>
      <c r="B26" t="str">
        <v xml:space="preserve">Isaac Gooding </v>
      </c>
      <c r="C26" s="17">
        <v>0</v>
      </c>
      <c r="E26" t="str">
        <v>University of Liverpool</v>
      </c>
      <c r="F26" t="str">
        <v xml:space="preserve">Isaac Gooding </v>
      </c>
      <c r="G26">
        <v>40.504050405040502</v>
      </c>
      <c r="J26" t="str">
        <f t="shared" si="32"/>
        <v>Leeds Beckett University</v>
      </c>
      <c r="K26">
        <f t="shared" si="33"/>
        <v>94.772117962466481</v>
      </c>
      <c r="L26">
        <f t="shared" si="34"/>
        <v>91.957104557640761</v>
      </c>
      <c r="M26">
        <f t="shared" si="35"/>
        <v>91.286863270777459</v>
      </c>
      <c r="N26">
        <f t="shared" si="36"/>
        <v>82.573726541554947</v>
      </c>
      <c r="O26">
        <f t="shared" si="37"/>
        <v>73.190348525469147</v>
      </c>
      <c r="P26">
        <f t="shared" si="38"/>
        <v>71.18279569892475</v>
      </c>
      <c r="Q26">
        <f t="shared" si="39"/>
        <v>48.525469168900791</v>
      </c>
      <c r="R26">
        <f t="shared" si="40"/>
        <v>42.34122042341221</v>
      </c>
      <c r="S26" t="str">
        <f t="shared" si="41"/>
        <v>n/a</v>
      </c>
      <c r="T26" t="str">
        <f t="shared" si="42"/>
        <v>n/a</v>
      </c>
      <c r="U26" t="str">
        <f t="shared" si="43"/>
        <v>n/a</v>
      </c>
      <c r="V26">
        <f>SUM(Table2[[#This Row],[Score 1]:[Score 11]])</f>
        <v>595.82964614914647</v>
      </c>
      <c r="W26">
        <f t="shared" si="44"/>
        <v>8</v>
      </c>
      <c r="Y26" t="str">
        <f t="shared" si="13"/>
        <v>Northumbria University</v>
      </c>
      <c r="Z26">
        <f t="shared" si="14"/>
        <v>0</v>
      </c>
      <c r="AA26">
        <f t="shared" si="15"/>
        <v>877.91703604752217</v>
      </c>
      <c r="AB26">
        <f>SUM(Table3[[#This Row],[Comp 1 Total]:[Comp 2 Total]])</f>
        <v>877.91703604752217</v>
      </c>
      <c r="AC26">
        <f t="shared" si="18"/>
        <v>11</v>
      </c>
    </row>
    <row r="27" spans="1:29" x14ac:dyDescent="0.2">
      <c r="A27" t="str">
        <v>University of Leeds</v>
      </c>
      <c r="B27" t="str">
        <v>Koby Walters</v>
      </c>
      <c r="C27" s="17">
        <v>0</v>
      </c>
      <c r="E27" t="str">
        <v>University of Leeds</v>
      </c>
      <c r="F27" t="str">
        <v>Koby Walters</v>
      </c>
      <c r="G27">
        <v>37.443744374437443</v>
      </c>
      <c r="J27" t="str">
        <f t="shared" si="32"/>
        <v>Loughborough University</v>
      </c>
      <c r="K27">
        <f t="shared" si="33"/>
        <v>100</v>
      </c>
      <c r="L27">
        <f t="shared" si="34"/>
        <v>100</v>
      </c>
      <c r="M27">
        <f t="shared" si="35"/>
        <v>99.819981998199822</v>
      </c>
      <c r="N27">
        <f t="shared" si="36"/>
        <v>98.879202988792031</v>
      </c>
      <c r="O27">
        <f t="shared" si="37"/>
        <v>97.882938978829387</v>
      </c>
      <c r="P27">
        <f t="shared" si="38"/>
        <v>97.342192691029894</v>
      </c>
      <c r="Q27">
        <f t="shared" si="39"/>
        <v>97.231450719822803</v>
      </c>
      <c r="R27">
        <f t="shared" si="40"/>
        <v>96.782841823056302</v>
      </c>
      <c r="S27">
        <f t="shared" si="41"/>
        <v>96.717724288840273</v>
      </c>
      <c r="T27">
        <f t="shared" si="42"/>
        <v>96.246648793565669</v>
      </c>
      <c r="U27">
        <f t="shared" si="43"/>
        <v>95.854922279792746</v>
      </c>
      <c r="V27">
        <f>SUM(Table2[[#This Row],[Score 1]:[Score 11]])</f>
        <v>1076.7579045619289</v>
      </c>
      <c r="W27">
        <f t="shared" si="44"/>
        <v>1</v>
      </c>
      <c r="Y27" t="str">
        <f t="shared" ref="Y27:Y29" si="45">J18</f>
        <v>University of Leicester</v>
      </c>
      <c r="Z27">
        <f t="shared" ref="Z27:Z29" si="46">V18</f>
        <v>0</v>
      </c>
      <c r="AA27">
        <f t="shared" ref="AA27:AA29" si="47">V38</f>
        <v>451.74711452166105</v>
      </c>
      <c r="AB27">
        <f>SUM(Table3[[#This Row],[Comp 1 Total]:[Comp 2 Total]])</f>
        <v>451.74711452166105</v>
      </c>
      <c r="AC27">
        <f>RANK(AB27, AB$14:AB$39,0)</f>
        <v>12</v>
      </c>
    </row>
    <row r="28" spans="1:29" x14ac:dyDescent="0.2">
      <c r="A28" t="str">
        <v>University of Leeds</v>
      </c>
      <c r="B28" t="str">
        <v>Harvey Unthank</v>
      </c>
      <c r="C28" s="17">
        <v>36.566440349175558</v>
      </c>
      <c r="E28" t="str">
        <v>University of Leeds</v>
      </c>
      <c r="F28" t="str">
        <v>Harvey Unthank</v>
      </c>
      <c r="G28">
        <v>0</v>
      </c>
      <c r="J28" t="str">
        <f t="shared" si="32"/>
        <v>Sheffield Hallam University</v>
      </c>
      <c r="K28">
        <f t="shared" si="33"/>
        <v>100</v>
      </c>
      <c r="L28">
        <f t="shared" si="34"/>
        <v>98.257372654155489</v>
      </c>
      <c r="M28">
        <f t="shared" si="35"/>
        <v>96.886674968866771</v>
      </c>
      <c r="N28">
        <f t="shared" si="36"/>
        <v>92.359249329758711</v>
      </c>
      <c r="O28">
        <f t="shared" si="37"/>
        <v>92.318435754189949</v>
      </c>
      <c r="P28">
        <f t="shared" si="38"/>
        <v>90.482573726541546</v>
      </c>
      <c r="Q28">
        <f t="shared" si="39"/>
        <v>89.736842105263165</v>
      </c>
      <c r="R28">
        <f t="shared" si="40"/>
        <v>86.924034869240359</v>
      </c>
      <c r="S28">
        <f t="shared" si="41"/>
        <v>80.86592178770951</v>
      </c>
      <c r="T28">
        <f t="shared" si="42"/>
        <v>76.815642458100555</v>
      </c>
      <c r="U28">
        <f t="shared" si="43"/>
        <v>72.258064516129053</v>
      </c>
      <c r="V28">
        <f>SUM(Table2[[#This Row],[Score 1]:[Score 11]])</f>
        <v>976.90481216995511</v>
      </c>
      <c r="W28">
        <f t="shared" si="44"/>
        <v>6</v>
      </c>
      <c r="Y28" t="str">
        <f t="shared" si="45"/>
        <v>Nottingham Trent University</v>
      </c>
      <c r="Z28">
        <f t="shared" si="46"/>
        <v>0</v>
      </c>
      <c r="AA28">
        <f t="shared" si="47"/>
        <v>298.19279507685587</v>
      </c>
      <c r="AB28">
        <f>SUM(Table3[[#This Row],[Comp 1 Total]:[Comp 2 Total]])</f>
        <v>298.19279507685587</v>
      </c>
      <c r="AC28">
        <f>RANK(AB28, AB$14:AB$39,0)</f>
        <v>14</v>
      </c>
    </row>
    <row r="29" spans="1:29" x14ac:dyDescent="0.2">
      <c r="A29" t="str">
        <v>Loughborough University</v>
      </c>
      <c r="B29" t="str">
        <v xml:space="preserve">Danail Barakov-Trankov </v>
      </c>
      <c r="C29" s="17">
        <v>0</v>
      </c>
      <c r="E29" t="str">
        <v>Loughborough University</v>
      </c>
      <c r="F29" t="str">
        <v xml:space="preserve">Danail Barakov-Trankov </v>
      </c>
      <c r="G29">
        <v>0</v>
      </c>
      <c r="J29" t="str">
        <f t="shared" si="32"/>
        <v>University of Edinburgh</v>
      </c>
      <c r="K29" t="str">
        <f t="shared" si="33"/>
        <v>n/a</v>
      </c>
      <c r="L29" t="str">
        <f t="shared" si="34"/>
        <v>n/a</v>
      </c>
      <c r="M29" t="str">
        <f t="shared" si="35"/>
        <v>n/a</v>
      </c>
      <c r="N29" t="str">
        <f t="shared" si="36"/>
        <v>n/a</v>
      </c>
      <c r="O29" t="str">
        <f t="shared" si="37"/>
        <v>n/a</v>
      </c>
      <c r="P29" t="str">
        <f t="shared" si="38"/>
        <v>n/a</v>
      </c>
      <c r="Q29" t="str">
        <f t="shared" si="39"/>
        <v/>
      </c>
      <c r="R29" t="str">
        <f t="shared" si="40"/>
        <v/>
      </c>
      <c r="S29" t="str">
        <f t="shared" si="41"/>
        <v/>
      </c>
      <c r="T29" t="str">
        <f t="shared" si="42"/>
        <v/>
      </c>
      <c r="U29" t="str">
        <f t="shared" si="43"/>
        <v/>
      </c>
      <c r="V29">
        <f>SUM(Table2[[#This Row],[Score 1]:[Score 11]])</f>
        <v>0</v>
      </c>
      <c r="W29">
        <f t="shared" si="44"/>
        <v>10</v>
      </c>
      <c r="Y29" t="str">
        <f t="shared" si="45"/>
        <v>Keele University</v>
      </c>
      <c r="Z29">
        <f t="shared" si="46"/>
        <v>0</v>
      </c>
      <c r="AA29">
        <f t="shared" si="47"/>
        <v>1000.2565485274938</v>
      </c>
      <c r="AB29">
        <f>SUM(Table3[[#This Row],[Comp 1 Total]:[Comp 2 Total]])</f>
        <v>1000.2565485274938</v>
      </c>
      <c r="AC29">
        <f>RANK(AB29, AB$14:AB$39,0)</f>
        <v>10</v>
      </c>
    </row>
    <row r="30" spans="1:29" x14ac:dyDescent="0.2">
      <c r="A30" t="str">
        <v>University of Liverpool</v>
      </c>
      <c r="B30" t="str">
        <v>Kiera Hurst</v>
      </c>
      <c r="C30" s="17">
        <v>97.399219765929786</v>
      </c>
      <c r="E30" t="str">
        <v>University of Liverpool</v>
      </c>
      <c r="F30" t="str">
        <v>Kiera Hurst</v>
      </c>
      <c r="G30">
        <v>95.595854922279798</v>
      </c>
      <c r="J30" t="str">
        <f t="shared" si="32"/>
        <v>University of Leeds</v>
      </c>
      <c r="K30">
        <f t="shared" si="33"/>
        <v>97.050938337801611</v>
      </c>
      <c r="L30">
        <f t="shared" si="34"/>
        <v>96.637608966376092</v>
      </c>
      <c r="M30">
        <f t="shared" si="35"/>
        <v>94.396014943960154</v>
      </c>
      <c r="N30">
        <f t="shared" si="36"/>
        <v>92.359249329758711</v>
      </c>
      <c r="O30">
        <f t="shared" si="37"/>
        <v>89.788293897882937</v>
      </c>
      <c r="P30">
        <f t="shared" si="38"/>
        <v>89.664804469273733</v>
      </c>
      <c r="Q30">
        <f t="shared" si="39"/>
        <v>89.544235924932977</v>
      </c>
      <c r="R30">
        <f t="shared" si="40"/>
        <v>89.473684210526315</v>
      </c>
      <c r="S30">
        <f t="shared" si="41"/>
        <v>88.169364881693639</v>
      </c>
      <c r="T30">
        <f t="shared" si="42"/>
        <v>86.997319034852552</v>
      </c>
      <c r="U30">
        <f t="shared" si="43"/>
        <v>83.67875647668393</v>
      </c>
      <c r="V30">
        <f>SUM(Table2[[#This Row],[Score 1]:[Score 11]])</f>
        <v>997.76027047374259</v>
      </c>
      <c r="W30">
        <f t="shared" si="44"/>
        <v>5</v>
      </c>
    </row>
    <row r="31" spans="1:29" x14ac:dyDescent="0.2">
      <c r="A31" t="str">
        <v>University of Liverpool</v>
      </c>
      <c r="B31" s="13" t="str">
        <v>Mia Choules</v>
      </c>
      <c r="C31" s="17">
        <v>91.93758127438231</v>
      </c>
      <c r="E31" t="str">
        <v>University of Liverpool</v>
      </c>
      <c r="F31" s="13" t="str">
        <v>Mia Choules</v>
      </c>
      <c r="G31">
        <v>99.481865284974091</v>
      </c>
      <c r="J31" t="str">
        <f t="shared" si="32"/>
        <v>University of Lincoln</v>
      </c>
      <c r="K31">
        <f t="shared" si="33"/>
        <v>97.029702970297052</v>
      </c>
      <c r="L31">
        <f t="shared" si="34"/>
        <v>94.193548387096783</v>
      </c>
      <c r="M31">
        <f t="shared" si="35"/>
        <v>91.759776536312842</v>
      </c>
      <c r="N31">
        <f t="shared" si="36"/>
        <v>90.083798882681577</v>
      </c>
      <c r="O31">
        <f t="shared" si="37"/>
        <v>89.198919891989206</v>
      </c>
      <c r="P31">
        <f t="shared" si="38"/>
        <v>88.916562889165647</v>
      </c>
      <c r="Q31">
        <f t="shared" si="39"/>
        <v>88.826815642458115</v>
      </c>
      <c r="R31">
        <f t="shared" si="40"/>
        <v>85.790884718498646</v>
      </c>
      <c r="S31">
        <f t="shared" si="41"/>
        <v>83.646112600536171</v>
      </c>
      <c r="T31">
        <f t="shared" si="42"/>
        <v>82.067247820672478</v>
      </c>
      <c r="U31">
        <f t="shared" si="43"/>
        <v>79.202988792029899</v>
      </c>
      <c r="V31">
        <f>SUM(Table2[[#This Row],[Score 1]:[Score 11]])</f>
        <v>970.71635913173839</v>
      </c>
      <c r="W31">
        <f t="shared" si="44"/>
        <v>7</v>
      </c>
    </row>
    <row r="32" spans="1:29" x14ac:dyDescent="0.2">
      <c r="A32" t="str">
        <v>University of York</v>
      </c>
      <c r="B32" t="str">
        <v>Olivia Cartwright</v>
      </c>
      <c r="C32" s="17">
        <v>90.637191157347189</v>
      </c>
      <c r="E32" t="str">
        <v>University of York</v>
      </c>
      <c r="F32" t="str">
        <v>Olivia Cartwright</v>
      </c>
      <c r="G32">
        <v>95.466321243523296</v>
      </c>
      <c r="J32" t="str">
        <f t="shared" si="32"/>
        <v>University of Liverpool</v>
      </c>
      <c r="K32">
        <f t="shared" si="33"/>
        <v>100</v>
      </c>
      <c r="L32">
        <f t="shared" si="34"/>
        <v>99.875466998754675</v>
      </c>
      <c r="M32">
        <f t="shared" si="35"/>
        <v>99.740932642487053</v>
      </c>
      <c r="N32">
        <f t="shared" si="36"/>
        <v>99.481865284974091</v>
      </c>
      <c r="O32">
        <f t="shared" si="37"/>
        <v>98.78183831672203</v>
      </c>
      <c r="P32">
        <f t="shared" si="38"/>
        <v>95.978552278820359</v>
      </c>
      <c r="Q32">
        <f t="shared" si="39"/>
        <v>95.595854922279798</v>
      </c>
      <c r="R32">
        <f t="shared" si="40"/>
        <v>86.19302949061661</v>
      </c>
      <c r="S32">
        <f t="shared" si="41"/>
        <v>85.254691689008027</v>
      </c>
      <c r="T32">
        <f t="shared" si="42"/>
        <v>85</v>
      </c>
      <c r="U32">
        <f t="shared" si="43"/>
        <v>84.718498659517422</v>
      </c>
      <c r="V32">
        <f>SUM(Table2[[#This Row],[Score 1]:[Score 11]])</f>
        <v>1030.6207302831801</v>
      </c>
      <c r="W32">
        <f t="shared" si="44"/>
        <v>3</v>
      </c>
    </row>
    <row r="33" spans="1:264" x14ac:dyDescent="0.2">
      <c r="A33" t="str">
        <v>University of Manchester</v>
      </c>
      <c r="B33" t="str">
        <v>Ella Wadley</v>
      </c>
      <c r="C33" s="17">
        <v>94.018205461638487</v>
      </c>
      <c r="E33" t="str">
        <v>University of Manchester</v>
      </c>
      <c r="F33" t="str">
        <v>Ella Wadley</v>
      </c>
      <c r="G33">
        <v>91.45077720207253</v>
      </c>
      <c r="J33" t="str">
        <f t="shared" si="32"/>
        <v>University of Manchester</v>
      </c>
      <c r="K33">
        <f t="shared" si="33"/>
        <v>100</v>
      </c>
      <c r="L33">
        <f t="shared" si="34"/>
        <v>100</v>
      </c>
      <c r="M33">
        <f t="shared" si="35"/>
        <v>98.754669987546691</v>
      </c>
      <c r="N33">
        <f t="shared" si="36"/>
        <v>96.061269146608325</v>
      </c>
      <c r="O33">
        <f t="shared" si="37"/>
        <v>94.818652849740943</v>
      </c>
      <c r="P33">
        <f t="shared" si="38"/>
        <v>94.559585492227967</v>
      </c>
      <c r="Q33">
        <f t="shared" si="39"/>
        <v>94.396014943960168</v>
      </c>
      <c r="R33">
        <f t="shared" si="40"/>
        <v>93.163538873994625</v>
      </c>
      <c r="S33">
        <f t="shared" si="41"/>
        <v>91.45077720207253</v>
      </c>
      <c r="T33">
        <f t="shared" si="42"/>
        <v>88.082901554404145</v>
      </c>
      <c r="U33">
        <f t="shared" si="43"/>
        <v>80.965147453083105</v>
      </c>
      <c r="V33">
        <f>SUM(Table2[[#This Row],[Score 1]:[Score 11]])</f>
        <v>1032.2525575036384</v>
      </c>
      <c r="W33">
        <f t="shared" si="44"/>
        <v>2</v>
      </c>
    </row>
    <row r="34" spans="1:264" x14ac:dyDescent="0.2">
      <c r="A34" t="str">
        <v>Loughborough University</v>
      </c>
      <c r="B34" t="str">
        <v>Ami Richardson</v>
      </c>
      <c r="C34">
        <v>92.067620286085813</v>
      </c>
      <c r="E34" t="str">
        <v>Loughborough University</v>
      </c>
      <c r="F34" t="str">
        <v>Ami Richardson</v>
      </c>
      <c r="G34">
        <v>91.968911917098438</v>
      </c>
      <c r="J34" t="str">
        <f t="shared" si="32"/>
        <v>University of Nottingham</v>
      </c>
      <c r="K34" t="str">
        <f t="shared" si="33"/>
        <v>n/a</v>
      </c>
      <c r="L34" t="str">
        <f t="shared" si="34"/>
        <v>n/a</v>
      </c>
      <c r="M34" t="str">
        <f t="shared" si="35"/>
        <v>n/a</v>
      </c>
      <c r="N34" t="str">
        <f t="shared" si="36"/>
        <v>n/a</v>
      </c>
      <c r="O34" t="str">
        <f t="shared" si="37"/>
        <v>n/a</v>
      </c>
      <c r="P34" t="str">
        <f t="shared" si="38"/>
        <v>n/a</v>
      </c>
      <c r="Q34" t="str">
        <f t="shared" si="39"/>
        <v/>
      </c>
      <c r="R34" t="str">
        <f t="shared" si="40"/>
        <v/>
      </c>
      <c r="S34" t="str">
        <f t="shared" si="41"/>
        <v/>
      </c>
      <c r="T34" t="str">
        <f t="shared" si="42"/>
        <v/>
      </c>
      <c r="U34" t="str">
        <f t="shared" si="43"/>
        <v/>
      </c>
      <c r="V34">
        <f>SUM(Table2[[#This Row],[Score 1]:[Score 11]])</f>
        <v>0</v>
      </c>
      <c r="W34">
        <f t="shared" si="44"/>
        <v>10</v>
      </c>
    </row>
    <row r="35" spans="1:264" x14ac:dyDescent="0.2">
      <c r="A35" t="str">
        <v>University of Manchester</v>
      </c>
      <c r="B35" t="str">
        <v>Niamh Hardy</v>
      </c>
      <c r="C35" s="17">
        <v>82.184655396618993</v>
      </c>
      <c r="E35" t="str">
        <v>University of Manchester</v>
      </c>
      <c r="F35" t="str">
        <v>Niamh Hardy</v>
      </c>
      <c r="G35">
        <v>100</v>
      </c>
      <c r="J35" t="str">
        <f t="shared" si="32"/>
        <v>University of Sheffield</v>
      </c>
      <c r="K35">
        <f t="shared" si="33"/>
        <v>95.679567956795694</v>
      </c>
      <c r="L35">
        <f t="shared" si="34"/>
        <v>95.308310991957086</v>
      </c>
      <c r="M35">
        <f t="shared" si="35"/>
        <v>94.473684210526315</v>
      </c>
      <c r="N35">
        <f t="shared" si="36"/>
        <v>94.342507645259928</v>
      </c>
      <c r="O35">
        <f t="shared" si="37"/>
        <v>92.90161892901618</v>
      </c>
      <c r="P35">
        <f t="shared" si="38"/>
        <v>90.535491905354931</v>
      </c>
      <c r="Q35">
        <f t="shared" si="39"/>
        <v>90.535491905354931</v>
      </c>
      <c r="R35">
        <f t="shared" si="40"/>
        <v>89.663760896637612</v>
      </c>
      <c r="S35">
        <f t="shared" si="41"/>
        <v>89.544235924932963</v>
      </c>
      <c r="T35">
        <f t="shared" si="42"/>
        <v>89.414694894146947</v>
      </c>
      <c r="U35">
        <f t="shared" si="43"/>
        <v>86.312849162011176</v>
      </c>
      <c r="V35">
        <f>SUM(Table2[[#This Row],[Score 1]:[Score 11]])</f>
        <v>1008.7122144219937</v>
      </c>
      <c r="W35">
        <f t="shared" si="44"/>
        <v>4</v>
      </c>
    </row>
    <row r="36" spans="1:264" x14ac:dyDescent="0.2">
      <c r="A36" t="str">
        <v>University of Manchester</v>
      </c>
      <c r="B36" t="str">
        <v>Victoria Corbett</v>
      </c>
      <c r="C36" s="17">
        <v>90.897269180754222</v>
      </c>
      <c r="E36" t="str">
        <v>University of Manchester</v>
      </c>
      <c r="F36" t="str">
        <v>Victoria Corbett</v>
      </c>
      <c r="G36">
        <v>88.082901554404145</v>
      </c>
      <c r="J36" t="str">
        <f t="shared" si="32"/>
        <v>University of York</v>
      </c>
      <c r="K36">
        <f t="shared" si="33"/>
        <v>95.466321243523296</v>
      </c>
      <c r="L36">
        <f t="shared" si="34"/>
        <v>94.101876675603208</v>
      </c>
      <c r="M36">
        <f t="shared" si="35"/>
        <v>88.60589812332438</v>
      </c>
      <c r="N36">
        <f t="shared" si="36"/>
        <v>87.526881720430126</v>
      </c>
      <c r="O36">
        <f t="shared" si="37"/>
        <v>82.440846824408482</v>
      </c>
      <c r="P36">
        <f t="shared" si="38"/>
        <v>73.972602739726028</v>
      </c>
      <c r="Q36">
        <f t="shared" si="39"/>
        <v>49.061662198391417</v>
      </c>
      <c r="R36" t="str">
        <f t="shared" si="40"/>
        <v>n/a</v>
      </c>
      <c r="S36" t="str">
        <f t="shared" si="41"/>
        <v>n/a</v>
      </c>
      <c r="T36" t="str">
        <f t="shared" si="42"/>
        <v>n/a</v>
      </c>
      <c r="U36" t="str">
        <f t="shared" si="43"/>
        <v/>
      </c>
      <c r="V36">
        <f>SUM(Table2[[#This Row],[Score 1]:[Score 11]])</f>
        <v>571.17608952540695</v>
      </c>
      <c r="W36">
        <f t="shared" si="44"/>
        <v>9</v>
      </c>
    </row>
    <row r="37" spans="1:264" x14ac:dyDescent="0.2">
      <c r="A37" t="str">
        <v>Loughborough University</v>
      </c>
      <c r="B37" t="str">
        <v>Ella Waldron</v>
      </c>
      <c r="C37" s="17">
        <v>84.655396618985677</v>
      </c>
      <c r="E37" t="str">
        <v>Loughborough University</v>
      </c>
      <c r="F37" t="str">
        <v>Ella Waldron</v>
      </c>
      <c r="G37">
        <v>93.264248704663217</v>
      </c>
      <c r="J37" t="str">
        <f t="shared" si="32"/>
        <v>Northumbria University</v>
      </c>
      <c r="K37">
        <f t="shared" si="33"/>
        <v>100</v>
      </c>
      <c r="L37">
        <f t="shared" si="34"/>
        <v>100</v>
      </c>
      <c r="M37">
        <f t="shared" si="35"/>
        <v>95.336787564766837</v>
      </c>
      <c r="N37">
        <f t="shared" si="36"/>
        <v>90.414507772020741</v>
      </c>
      <c r="O37">
        <f t="shared" si="37"/>
        <v>81.983240223463696</v>
      </c>
      <c r="P37">
        <f t="shared" si="38"/>
        <v>78.953922789539234</v>
      </c>
      <c r="Q37">
        <f t="shared" si="39"/>
        <v>73.848069738480703</v>
      </c>
      <c r="R37">
        <f t="shared" si="40"/>
        <v>72.625698324022352</v>
      </c>
      <c r="S37">
        <f t="shared" si="41"/>
        <v>69.55307262569832</v>
      </c>
      <c r="T37">
        <f t="shared" si="42"/>
        <v>58.290155440414502</v>
      </c>
      <c r="U37">
        <f t="shared" si="43"/>
        <v>56.911581569115825</v>
      </c>
      <c r="V37">
        <f>SUM(Table2[[#This Row],[Score 1]:[Score 11]])</f>
        <v>877.91703604752217</v>
      </c>
      <c r="W37">
        <f>RANK(V37, V$25:V$41,0)</f>
        <v>9</v>
      </c>
    </row>
    <row r="38" spans="1:264" x14ac:dyDescent="0.2">
      <c r="A38" t="str">
        <v>Loughborough University</v>
      </c>
      <c r="B38" t="str">
        <v>Eimear Galvin</v>
      </c>
      <c r="C38" s="17">
        <v>81.534460338101439</v>
      </c>
      <c r="E38" t="str">
        <v>Loughborough University</v>
      </c>
      <c r="F38" t="str">
        <v>Eimear Galvin</v>
      </c>
      <c r="G38">
        <v>95.854922279792746</v>
      </c>
      <c r="J38" t="str">
        <f t="shared" ref="J38:J41" si="48">J82</f>
        <v>University of Leicester</v>
      </c>
      <c r="K38">
        <f t="shared" si="33"/>
        <v>100</v>
      </c>
      <c r="L38">
        <f t="shared" si="34"/>
        <v>100</v>
      </c>
      <c r="M38">
        <f t="shared" si="35"/>
        <v>87.920298879202988</v>
      </c>
      <c r="N38">
        <f t="shared" si="36"/>
        <v>82.821229050279328</v>
      </c>
      <c r="O38">
        <f t="shared" si="37"/>
        <v>81.005586592178787</v>
      </c>
      <c r="P38" t="str">
        <f t="shared" si="38"/>
        <v>n/a</v>
      </c>
      <c r="Q38" t="str">
        <f t="shared" si="39"/>
        <v>n/a</v>
      </c>
      <c r="R38" t="str">
        <f t="shared" si="40"/>
        <v/>
      </c>
      <c r="S38" t="str">
        <f t="shared" si="41"/>
        <v/>
      </c>
      <c r="T38" t="str">
        <f t="shared" si="42"/>
        <v/>
      </c>
      <c r="U38" t="str">
        <f t="shared" si="43"/>
        <v/>
      </c>
      <c r="V38">
        <f>SUM(Table2[[#This Row],[Score 1]:[Score 11]])</f>
        <v>451.74711452166105</v>
      </c>
      <c r="W38">
        <f t="shared" ref="W38:W41" si="49">RANK(V38, V$25:V$41,0)</f>
        <v>12</v>
      </c>
    </row>
    <row r="39" spans="1:264" x14ac:dyDescent="0.2">
      <c r="A39" t="str">
        <v>University of Manchester</v>
      </c>
      <c r="B39" s="13" t="str">
        <v>Grace Lin</v>
      </c>
      <c r="C39" s="17">
        <v>96.749024707412218</v>
      </c>
      <c r="E39" t="str">
        <v>University of Manchester</v>
      </c>
      <c r="F39" s="13" t="str">
        <v>Grace Lin</v>
      </c>
      <c r="G39">
        <v>60.103626943005182</v>
      </c>
      <c r="J39" t="str">
        <f t="shared" si="48"/>
        <v>Nottingham Trent University</v>
      </c>
      <c r="K39">
        <f t="shared" si="33"/>
        <v>98.793565683646108</v>
      </c>
      <c r="L39">
        <f t="shared" si="34"/>
        <v>89.276139410187653</v>
      </c>
      <c r="M39">
        <f t="shared" si="35"/>
        <v>63.026315789473685</v>
      </c>
      <c r="N39">
        <f t="shared" si="36"/>
        <v>47.096774193548391</v>
      </c>
      <c r="O39" t="str">
        <f t="shared" si="37"/>
        <v>n/a</v>
      </c>
      <c r="P39" t="str">
        <f t="shared" si="38"/>
        <v/>
      </c>
      <c r="Q39" t="str">
        <f t="shared" si="39"/>
        <v/>
      </c>
      <c r="R39" t="str">
        <f t="shared" si="40"/>
        <v/>
      </c>
      <c r="S39" t="str">
        <f t="shared" si="41"/>
        <v/>
      </c>
      <c r="T39" t="str">
        <f t="shared" si="42"/>
        <v/>
      </c>
      <c r="U39" t="str">
        <f t="shared" si="43"/>
        <v/>
      </c>
      <c r="V39">
        <f>SUM(Table2[[#This Row],[Score 1]:[Score 11]])</f>
        <v>298.19279507685587</v>
      </c>
      <c r="W39">
        <f t="shared" si="49"/>
        <v>13</v>
      </c>
    </row>
    <row r="40" spans="1:264" x14ac:dyDescent="0.2">
      <c r="A40" t="str">
        <v>University of Sheffield</v>
      </c>
      <c r="B40" t="str">
        <v>Scarlett Cherry</v>
      </c>
      <c r="C40" s="17">
        <v>92.327698309492845</v>
      </c>
      <c r="E40" t="str">
        <v>University of Sheffield</v>
      </c>
      <c r="F40" t="str">
        <v>Scarlett Cherry</v>
      </c>
      <c r="G40">
        <v>58.549222797927456</v>
      </c>
      <c r="J40" t="str">
        <f t="shared" si="48"/>
        <v>Keele University</v>
      </c>
      <c r="K40">
        <f t="shared" si="33"/>
        <v>99.720670391061475</v>
      </c>
      <c r="L40">
        <f t="shared" si="34"/>
        <v>97.721179624664884</v>
      </c>
      <c r="M40">
        <f t="shared" si="35"/>
        <v>95.412844036697251</v>
      </c>
      <c r="N40">
        <f t="shared" si="36"/>
        <v>94.553072625698334</v>
      </c>
      <c r="O40">
        <f t="shared" si="37"/>
        <v>93.296089385474872</v>
      </c>
      <c r="P40">
        <f t="shared" si="38"/>
        <v>91.34078212290504</v>
      </c>
      <c r="Q40">
        <f t="shared" si="39"/>
        <v>90.080428954423581</v>
      </c>
      <c r="R40">
        <f t="shared" si="40"/>
        <v>88.685015290519871</v>
      </c>
      <c r="S40">
        <f t="shared" si="41"/>
        <v>87.155963302752284</v>
      </c>
      <c r="T40">
        <f t="shared" si="42"/>
        <v>81.424581005586589</v>
      </c>
      <c r="U40">
        <f t="shared" si="43"/>
        <v>80.86592178770951</v>
      </c>
      <c r="V40">
        <f>SUM(Table2[[#This Row],[Score 1]:[Score 11]])</f>
        <v>1000.2565485274938</v>
      </c>
      <c r="W40">
        <f t="shared" si="49"/>
        <v>5</v>
      </c>
    </row>
    <row r="41" spans="1:264" x14ac:dyDescent="0.2">
      <c r="A41" t="str">
        <v>University of Leeds</v>
      </c>
      <c r="B41" t="str">
        <v>Leona Ryan</v>
      </c>
      <c r="C41" s="17">
        <v>31.339401820546165</v>
      </c>
      <c r="E41" t="str">
        <v>University of Leeds</v>
      </c>
      <c r="F41" t="str">
        <v>Leona Ryan</v>
      </c>
      <c r="G41">
        <v>80.310880829015531</v>
      </c>
      <c r="J41">
        <f t="shared" si="48"/>
        <v>0</v>
      </c>
      <c r="K41" t="str">
        <f t="shared" si="33"/>
        <v/>
      </c>
      <c r="L41" t="str">
        <f t="shared" si="34"/>
        <v/>
      </c>
      <c r="M41" t="str">
        <f t="shared" si="35"/>
        <v/>
      </c>
      <c r="N41" t="str">
        <f t="shared" si="36"/>
        <v/>
      </c>
      <c r="O41" t="str">
        <f t="shared" si="37"/>
        <v/>
      </c>
      <c r="P41" t="str">
        <f t="shared" si="38"/>
        <v/>
      </c>
      <c r="Q41" t="str">
        <f t="shared" si="39"/>
        <v/>
      </c>
      <c r="R41" t="str">
        <f t="shared" si="40"/>
        <v/>
      </c>
      <c r="S41" t="str">
        <f t="shared" si="41"/>
        <v/>
      </c>
      <c r="T41" t="str">
        <f t="shared" si="42"/>
        <v/>
      </c>
      <c r="U41" t="str">
        <f t="shared" si="43"/>
        <v/>
      </c>
      <c r="V41">
        <f>SUM(Table2[[#This Row],[Score 1]:[Score 11]])</f>
        <v>0</v>
      </c>
      <c r="W41">
        <f t="shared" si="49"/>
        <v>14</v>
      </c>
    </row>
    <row r="42" spans="1:264" x14ac:dyDescent="0.2">
      <c r="A42" t="str">
        <v>University of Nottingham</v>
      </c>
      <c r="B42" t="str">
        <v>Jasmine Thomas</v>
      </c>
      <c r="C42" s="17">
        <v>100</v>
      </c>
      <c r="E42" t="str">
        <v>University of Nottingham</v>
      </c>
      <c r="F42" t="str">
        <v>Jasmine Thomas</v>
      </c>
      <c r="G42">
        <v>0</v>
      </c>
    </row>
    <row r="43" spans="1:264" x14ac:dyDescent="0.2">
      <c r="A43" t="str">
        <v>University of Liverpool</v>
      </c>
      <c r="B43" t="str">
        <v>Heather Davenport</v>
      </c>
      <c r="C43" s="17">
        <v>0</v>
      </c>
      <c r="E43" t="str">
        <v>University of Liverpool</v>
      </c>
      <c r="F43" t="str">
        <v>Heather Davenport</v>
      </c>
      <c r="G43">
        <v>99.740932642487053</v>
      </c>
    </row>
    <row r="44" spans="1:264" x14ac:dyDescent="0.2">
      <c r="A44" t="str">
        <v>Northumbria University</v>
      </c>
      <c r="B44" t="str">
        <v>Ella Well</v>
      </c>
      <c r="C44" s="17">
        <v>0</v>
      </c>
      <c r="E44" t="str">
        <v>Northumbria University</v>
      </c>
      <c r="F44" t="str">
        <v>Ella Well</v>
      </c>
      <c r="G44">
        <v>95.336787564766837</v>
      </c>
    </row>
    <row r="45" spans="1:264" x14ac:dyDescent="0.2">
      <c r="A45" t="str">
        <v>University of Manchester</v>
      </c>
      <c r="B45" t="str">
        <v>Kirstey Achterberg</v>
      </c>
      <c r="C45" s="17">
        <v>0</v>
      </c>
      <c r="E45" t="str">
        <v>University of Manchester</v>
      </c>
      <c r="F45" t="str">
        <v>Kirstey Achterberg</v>
      </c>
      <c r="G45">
        <v>94.818652849740943</v>
      </c>
      <c r="J45" s="18" t="s">
        <v>219</v>
      </c>
      <c r="K45" s="18" t="s">
        <v>217</v>
      </c>
    </row>
    <row r="46" spans="1:264" x14ac:dyDescent="0.2">
      <c r="A46" t="str">
        <v>University of Manchester</v>
      </c>
      <c r="B46" t="str">
        <v>Esme Lewis</v>
      </c>
      <c r="C46" s="17">
        <v>0</v>
      </c>
      <c r="E46" t="str">
        <v>University of Manchester</v>
      </c>
      <c r="F46" t="str">
        <v>Esme Lewis</v>
      </c>
      <c r="G46">
        <v>94.559585492227967</v>
      </c>
      <c r="J46" s="18" t="s">
        <v>218</v>
      </c>
      <c r="K46" t="s">
        <v>123</v>
      </c>
      <c r="L46" t="s">
        <v>106</v>
      </c>
      <c r="M46" t="s">
        <v>91</v>
      </c>
      <c r="N46" t="s">
        <v>186</v>
      </c>
      <c r="O46" t="s">
        <v>146</v>
      </c>
      <c r="P46" t="s">
        <v>193</v>
      </c>
      <c r="Q46" t="s">
        <v>58</v>
      </c>
      <c r="R46" t="s">
        <v>93</v>
      </c>
      <c r="S46" t="s">
        <v>100</v>
      </c>
      <c r="T46" t="s">
        <v>136</v>
      </c>
      <c r="U46" t="s">
        <v>117</v>
      </c>
      <c r="V46" t="s">
        <v>173</v>
      </c>
      <c r="W46" t="s">
        <v>94</v>
      </c>
      <c r="X46" t="s">
        <v>130</v>
      </c>
      <c r="Y46" t="s">
        <v>177</v>
      </c>
      <c r="Z46" t="s">
        <v>145</v>
      </c>
      <c r="AA46" t="s">
        <v>49</v>
      </c>
      <c r="AB46" t="s">
        <v>74</v>
      </c>
      <c r="AC46" t="s">
        <v>69</v>
      </c>
      <c r="AD46" t="s">
        <v>175</v>
      </c>
      <c r="AE46" t="s">
        <v>48</v>
      </c>
      <c r="AF46" t="s">
        <v>153</v>
      </c>
      <c r="AG46" t="s">
        <v>111</v>
      </c>
      <c r="AH46" t="s">
        <v>128</v>
      </c>
      <c r="AI46" t="s">
        <v>95</v>
      </c>
      <c r="AJ46" t="s">
        <v>109</v>
      </c>
      <c r="AK46" t="s">
        <v>70</v>
      </c>
      <c r="AL46" t="s">
        <v>62</v>
      </c>
      <c r="AM46" t="s">
        <v>131</v>
      </c>
      <c r="AN46" t="s">
        <v>84</v>
      </c>
      <c r="AO46" t="s">
        <v>92</v>
      </c>
      <c r="AP46" t="s">
        <v>120</v>
      </c>
      <c r="AQ46" t="s">
        <v>133</v>
      </c>
      <c r="AR46" t="s">
        <v>101</v>
      </c>
      <c r="AS46" t="s">
        <v>113</v>
      </c>
      <c r="AT46" t="s">
        <v>119</v>
      </c>
      <c r="AU46" t="s">
        <v>140</v>
      </c>
      <c r="AV46" t="s">
        <v>144</v>
      </c>
      <c r="AW46" t="s">
        <v>176</v>
      </c>
      <c r="AX46" t="s">
        <v>138</v>
      </c>
      <c r="AY46" t="s">
        <v>126</v>
      </c>
      <c r="AZ46" t="s">
        <v>118</v>
      </c>
      <c r="BA46" t="s">
        <v>47</v>
      </c>
      <c r="BB46" t="s">
        <v>44</v>
      </c>
      <c r="BC46" t="s">
        <v>81</v>
      </c>
      <c r="BD46" t="s">
        <v>116</v>
      </c>
      <c r="BE46" t="s">
        <v>134</v>
      </c>
      <c r="BF46" t="s">
        <v>55</v>
      </c>
      <c r="BG46" t="s">
        <v>57</v>
      </c>
      <c r="BH46" t="s">
        <v>85</v>
      </c>
      <c r="BI46" t="s">
        <v>125</v>
      </c>
      <c r="BJ46" t="s">
        <v>172</v>
      </c>
      <c r="BK46" t="s">
        <v>135</v>
      </c>
      <c r="BL46" t="s">
        <v>61</v>
      </c>
      <c r="BM46" t="s">
        <v>46</v>
      </c>
      <c r="BN46" t="s">
        <v>73</v>
      </c>
      <c r="BO46" t="s">
        <v>60</v>
      </c>
      <c r="BP46" t="s">
        <v>75</v>
      </c>
      <c r="BQ46" t="s">
        <v>77</v>
      </c>
      <c r="BR46" t="s">
        <v>90</v>
      </c>
      <c r="BS46" t="s">
        <v>121</v>
      </c>
      <c r="BT46" t="s">
        <v>127</v>
      </c>
      <c r="BU46" t="s">
        <v>189</v>
      </c>
      <c r="BV46" t="s">
        <v>181</v>
      </c>
      <c r="BW46" t="s">
        <v>59</v>
      </c>
      <c r="BX46" t="s">
        <v>67</v>
      </c>
      <c r="BY46" t="s">
        <v>71</v>
      </c>
      <c r="BZ46" t="s">
        <v>88</v>
      </c>
      <c r="CA46" t="s">
        <v>124</v>
      </c>
      <c r="CB46" t="s">
        <v>105</v>
      </c>
      <c r="CC46" t="s">
        <v>56</v>
      </c>
      <c r="CD46" t="s">
        <v>122</v>
      </c>
      <c r="CE46" t="s">
        <v>107</v>
      </c>
      <c r="CF46" t="s">
        <v>142</v>
      </c>
      <c r="CG46" t="s">
        <v>102</v>
      </c>
      <c r="CH46" t="s">
        <v>158</v>
      </c>
      <c r="CI46" t="s">
        <v>143</v>
      </c>
      <c r="CJ46" t="s">
        <v>54</v>
      </c>
      <c r="CK46" t="s">
        <v>174</v>
      </c>
      <c r="CL46" t="s">
        <v>80</v>
      </c>
      <c r="CM46" t="s">
        <v>104</v>
      </c>
      <c r="CN46" t="s">
        <v>192</v>
      </c>
      <c r="CO46" t="s">
        <v>82</v>
      </c>
      <c r="CP46" t="s">
        <v>114</v>
      </c>
      <c r="CQ46" t="s">
        <v>139</v>
      </c>
      <c r="CR46" t="s">
        <v>83</v>
      </c>
      <c r="CS46" t="s">
        <v>110</v>
      </c>
      <c r="CT46" t="s">
        <v>89</v>
      </c>
      <c r="CU46" t="s">
        <v>87</v>
      </c>
      <c r="CV46" t="s">
        <v>132</v>
      </c>
      <c r="CW46" t="s">
        <v>141</v>
      </c>
      <c r="CX46" t="s">
        <v>129</v>
      </c>
      <c r="CY46" t="s">
        <v>72</v>
      </c>
      <c r="CZ46" t="s">
        <v>112</v>
      </c>
      <c r="DA46" t="s">
        <v>86</v>
      </c>
      <c r="DB46" t="s">
        <v>108</v>
      </c>
      <c r="DC46" t="s">
        <v>137</v>
      </c>
      <c r="DD46" t="s">
        <v>76</v>
      </c>
      <c r="DE46" t="s">
        <v>66</v>
      </c>
      <c r="DF46" t="s">
        <v>115</v>
      </c>
      <c r="DG46" t="s">
        <v>45</v>
      </c>
      <c r="DH46" t="s">
        <v>159</v>
      </c>
      <c r="DI46" t="s">
        <v>68</v>
      </c>
      <c r="DJ46" t="s">
        <v>205</v>
      </c>
      <c r="DK46" t="s">
        <v>231</v>
      </c>
      <c r="DL46" t="s">
        <v>249</v>
      </c>
      <c r="DM46" t="s">
        <v>333</v>
      </c>
      <c r="DN46" t="s">
        <v>250</v>
      </c>
      <c r="DO46" t="s">
        <v>251</v>
      </c>
      <c r="DP46" t="s">
        <v>233</v>
      </c>
      <c r="DQ46" t="s">
        <v>234</v>
      </c>
      <c r="DR46" t="s">
        <v>232</v>
      </c>
      <c r="DS46" t="s">
        <v>328</v>
      </c>
      <c r="DT46" t="s">
        <v>327</v>
      </c>
      <c r="DU46" t="s">
        <v>332</v>
      </c>
      <c r="DV46" t="s">
        <v>331</v>
      </c>
      <c r="DW46" t="s">
        <v>326</v>
      </c>
      <c r="DX46" t="s">
        <v>329</v>
      </c>
      <c r="DY46" t="s">
        <v>330</v>
      </c>
      <c r="DZ46" t="s">
        <v>237</v>
      </c>
      <c r="EA46" t="s">
        <v>239</v>
      </c>
      <c r="EB46" t="s">
        <v>236</v>
      </c>
      <c r="EC46" t="s">
        <v>303</v>
      </c>
      <c r="ED46" t="s">
        <v>304</v>
      </c>
      <c r="EE46" t="s">
        <v>302</v>
      </c>
      <c r="EF46" t="s">
        <v>305</v>
      </c>
      <c r="EG46" t="s">
        <v>306</v>
      </c>
      <c r="EH46" t="s">
        <v>307</v>
      </c>
      <c r="EI46" t="s">
        <v>308</v>
      </c>
      <c r="EJ46" t="s">
        <v>309</v>
      </c>
      <c r="EK46" t="s">
        <v>310</v>
      </c>
      <c r="EL46" t="s">
        <v>311</v>
      </c>
      <c r="EM46" t="s">
        <v>312</v>
      </c>
      <c r="EN46" t="s">
        <v>313</v>
      </c>
      <c r="EO46" t="s">
        <v>301</v>
      </c>
      <c r="EP46" t="s">
        <v>314</v>
      </c>
      <c r="EQ46" t="s">
        <v>315</v>
      </c>
      <c r="ER46" t="s">
        <v>316</v>
      </c>
      <c r="ES46" t="s">
        <v>317</v>
      </c>
      <c r="ET46" t="s">
        <v>318</v>
      </c>
      <c r="EU46" t="s">
        <v>319</v>
      </c>
      <c r="EV46" t="s">
        <v>320</v>
      </c>
      <c r="EW46" t="s">
        <v>321</v>
      </c>
      <c r="EX46" t="s">
        <v>322</v>
      </c>
      <c r="EY46" t="s">
        <v>323</v>
      </c>
      <c r="EZ46" t="s">
        <v>324</v>
      </c>
      <c r="FA46" t="s">
        <v>325</v>
      </c>
      <c r="FB46" t="s">
        <v>240</v>
      </c>
      <c r="FC46" t="s">
        <v>241</v>
      </c>
      <c r="FD46" t="s">
        <v>275</v>
      </c>
      <c r="FE46" t="s">
        <v>242</v>
      </c>
      <c r="FF46" t="s">
        <v>279</v>
      </c>
      <c r="FG46" t="s">
        <v>287</v>
      </c>
      <c r="FH46" t="s">
        <v>283</v>
      </c>
      <c r="FI46" t="s">
        <v>285</v>
      </c>
      <c r="FJ46" t="s">
        <v>282</v>
      </c>
      <c r="FK46" t="s">
        <v>297</v>
      </c>
      <c r="FL46" t="s">
        <v>278</v>
      </c>
      <c r="FM46" t="s">
        <v>298</v>
      </c>
      <c r="FN46" t="s">
        <v>288</v>
      </c>
      <c r="FO46" t="s">
        <v>286</v>
      </c>
      <c r="FP46" t="s">
        <v>294</v>
      </c>
      <c r="FQ46" t="s">
        <v>284</v>
      </c>
      <c r="FR46" t="s">
        <v>300</v>
      </c>
      <c r="FS46" t="s">
        <v>276</v>
      </c>
      <c r="FT46" t="s">
        <v>295</v>
      </c>
      <c r="FU46" t="s">
        <v>296</v>
      </c>
      <c r="FV46" t="s">
        <v>292</v>
      </c>
      <c r="FW46" t="s">
        <v>178</v>
      </c>
      <c r="FX46" t="s">
        <v>291</v>
      </c>
      <c r="FY46" t="s">
        <v>293</v>
      </c>
      <c r="FZ46" t="s">
        <v>147</v>
      </c>
      <c r="GA46" t="s">
        <v>281</v>
      </c>
      <c r="GB46" t="s">
        <v>184</v>
      </c>
      <c r="GC46" t="s">
        <v>299</v>
      </c>
      <c r="GD46" t="s">
        <v>197</v>
      </c>
      <c r="GE46" t="s">
        <v>185</v>
      </c>
      <c r="GF46" t="s">
        <v>188</v>
      </c>
      <c r="GG46" t="s">
        <v>167</v>
      </c>
      <c r="GH46" t="s">
        <v>166</v>
      </c>
      <c r="GI46" t="s">
        <v>164</v>
      </c>
      <c r="GJ46" t="s">
        <v>165</v>
      </c>
      <c r="GK46" t="s">
        <v>169</v>
      </c>
      <c r="GL46" t="s">
        <v>168</v>
      </c>
      <c r="GM46" t="s">
        <v>163</v>
      </c>
      <c r="GN46" t="s">
        <v>277</v>
      </c>
      <c r="GO46" t="s">
        <v>289</v>
      </c>
      <c r="GP46" t="s">
        <v>157</v>
      </c>
      <c r="GQ46" t="s">
        <v>160</v>
      </c>
      <c r="GR46" t="s">
        <v>156</v>
      </c>
      <c r="GS46" t="s">
        <v>290</v>
      </c>
      <c r="GT46" t="s">
        <v>190</v>
      </c>
      <c r="GU46" t="s">
        <v>171</v>
      </c>
      <c r="GV46" t="s">
        <v>180</v>
      </c>
      <c r="GW46" t="s">
        <v>162</v>
      </c>
      <c r="GX46" t="s">
        <v>152</v>
      </c>
      <c r="GY46" t="s">
        <v>149</v>
      </c>
      <c r="GZ46" t="s">
        <v>161</v>
      </c>
      <c r="HA46" t="s">
        <v>280</v>
      </c>
      <c r="HB46" t="s">
        <v>148</v>
      </c>
      <c r="HC46" t="s">
        <v>179</v>
      </c>
      <c r="HD46" t="s">
        <v>150</v>
      </c>
      <c r="HE46" t="s">
        <v>187</v>
      </c>
      <c r="HF46" t="s">
        <v>155</v>
      </c>
      <c r="HG46" t="s">
        <v>182</v>
      </c>
      <c r="HH46" t="s">
        <v>191</v>
      </c>
      <c r="HI46" t="s">
        <v>170</v>
      </c>
      <c r="HJ46" t="s">
        <v>151</v>
      </c>
      <c r="HK46" t="s">
        <v>154</v>
      </c>
      <c r="HL46" t="s">
        <v>183</v>
      </c>
      <c r="HM46" t="s">
        <v>96</v>
      </c>
      <c r="HN46" t="s">
        <v>97</v>
      </c>
      <c r="HO46" t="s">
        <v>98</v>
      </c>
      <c r="HP46" t="s">
        <v>99</v>
      </c>
      <c r="HQ46" t="s">
        <v>243</v>
      </c>
      <c r="HR46" t="s">
        <v>244</v>
      </c>
      <c r="HS46" t="s">
        <v>245</v>
      </c>
      <c r="HT46" t="s">
        <v>246</v>
      </c>
      <c r="HU46" t="s">
        <v>252</v>
      </c>
      <c r="HV46" t="s">
        <v>253</v>
      </c>
      <c r="HW46" t="s">
        <v>254</v>
      </c>
      <c r="HX46" t="s">
        <v>255</v>
      </c>
      <c r="HY46" t="s">
        <v>204</v>
      </c>
      <c r="HZ46" t="s">
        <v>256</v>
      </c>
      <c r="IA46" t="s">
        <v>257</v>
      </c>
      <c r="IB46" t="s">
        <v>258</v>
      </c>
      <c r="IC46" t="s">
        <v>259</v>
      </c>
      <c r="ID46" t="s">
        <v>260</v>
      </c>
      <c r="IE46" t="s">
        <v>207</v>
      </c>
      <c r="IF46" t="s">
        <v>201</v>
      </c>
      <c r="IG46" t="s">
        <v>261</v>
      </c>
      <c r="IH46" t="s">
        <v>208</v>
      </c>
      <c r="II46" t="s">
        <v>199</v>
      </c>
      <c r="IJ46" t="s">
        <v>262</v>
      </c>
      <c r="IK46" t="s">
        <v>263</v>
      </c>
      <c r="IL46" t="s">
        <v>264</v>
      </c>
      <c r="IM46" t="s">
        <v>265</v>
      </c>
      <c r="IN46" t="s">
        <v>202</v>
      </c>
      <c r="IO46" t="s">
        <v>194</v>
      </c>
      <c r="IP46" t="s">
        <v>266</v>
      </c>
      <c r="IQ46" t="s">
        <v>196</v>
      </c>
      <c r="IR46" t="s">
        <v>267</v>
      </c>
      <c r="IS46" t="s">
        <v>200</v>
      </c>
      <c r="IT46" t="s">
        <v>195</v>
      </c>
      <c r="IU46" t="s">
        <v>203</v>
      </c>
      <c r="IV46" t="s">
        <v>198</v>
      </c>
      <c r="IW46" t="s">
        <v>268</v>
      </c>
      <c r="IX46" t="s">
        <v>269</v>
      </c>
      <c r="IY46" t="s">
        <v>270</v>
      </c>
      <c r="IZ46" t="s">
        <v>206</v>
      </c>
      <c r="JA46" t="s">
        <v>271</v>
      </c>
      <c r="JB46" t="s">
        <v>272</v>
      </c>
      <c r="JC46" t="s">
        <v>273</v>
      </c>
      <c r="JD46" t="s">
        <v>334</v>
      </c>
    </row>
    <row r="47" spans="1:264" x14ac:dyDescent="0.2">
      <c r="A47" t="str">
        <v>Durham University</v>
      </c>
      <c r="B47" t="str">
        <v>Cordelia Ming</v>
      </c>
      <c r="C47" s="17">
        <v>91.365409622886858</v>
      </c>
      <c r="E47" t="str">
        <v>Durham University</v>
      </c>
      <c r="F47" t="str">
        <v>Cordelia Ming</v>
      </c>
      <c r="G47">
        <v>0</v>
      </c>
      <c r="J47" s="1" t="s">
        <v>103</v>
      </c>
      <c r="AJ47">
        <v>91.365409622886858</v>
      </c>
      <c r="BE47">
        <v>35.215053763440856</v>
      </c>
      <c r="BK47">
        <v>30.241935483870964</v>
      </c>
      <c r="GV47">
        <v>93.116395494367964</v>
      </c>
    </row>
    <row r="48" spans="1:264" x14ac:dyDescent="0.2">
      <c r="A48" t="str">
        <v>Northumbria University</v>
      </c>
      <c r="B48" t="str">
        <v>Rhianna Pyne</v>
      </c>
      <c r="C48" s="17">
        <v>0</v>
      </c>
      <c r="E48" t="str">
        <v>Northumbria University</v>
      </c>
      <c r="F48" t="str">
        <v>Rhianna Pyne</v>
      </c>
      <c r="G48">
        <v>90.414507772020741</v>
      </c>
      <c r="J48" s="1" t="s">
        <v>63</v>
      </c>
      <c r="K48">
        <v>90.322580645161281</v>
      </c>
      <c r="BI48">
        <v>0</v>
      </c>
      <c r="CA48">
        <v>80.376344086021504</v>
      </c>
      <c r="CD48">
        <v>95.430107526881713</v>
      </c>
      <c r="DE48">
        <v>89.351851851851833</v>
      </c>
      <c r="EO48">
        <v>89.91935483870968</v>
      </c>
      <c r="EP48">
        <v>0</v>
      </c>
      <c r="EQ48">
        <v>88.709677419354833</v>
      </c>
      <c r="ER48">
        <v>0</v>
      </c>
      <c r="ES48">
        <v>0</v>
      </c>
      <c r="FW48">
        <v>38.047559449311635</v>
      </c>
      <c r="HC48">
        <v>28.785982478097623</v>
      </c>
    </row>
    <row r="49" spans="1:264" x14ac:dyDescent="0.2">
      <c r="A49" t="str">
        <v>University of Leeds</v>
      </c>
      <c r="B49" t="str">
        <v>Chloe Thompson</v>
      </c>
      <c r="C49" s="17">
        <v>0</v>
      </c>
      <c r="E49" t="str">
        <v>University of Leeds</v>
      </c>
      <c r="F49" t="str">
        <v>Chloe Thompson</v>
      </c>
      <c r="G49">
        <v>83.67875647668393</v>
      </c>
      <c r="J49" s="1" t="s">
        <v>42</v>
      </c>
      <c r="P49">
        <v>92.615769712140178</v>
      </c>
      <c r="S49">
        <v>87.859424920127793</v>
      </c>
      <c r="U49">
        <v>92.067620286085813</v>
      </c>
      <c r="Y49">
        <v>86.983729662077593</v>
      </c>
      <c r="AB49">
        <v>97.916666666666657</v>
      </c>
      <c r="AD49">
        <v>28.285356695869833</v>
      </c>
      <c r="AL49">
        <v>0</v>
      </c>
      <c r="AP49">
        <v>81.534460338101439</v>
      </c>
      <c r="AR49">
        <v>86.15548455804047</v>
      </c>
      <c r="AT49">
        <v>84.655396618985677</v>
      </c>
      <c r="AV49">
        <v>0</v>
      </c>
      <c r="AW49">
        <v>82.728410513141412</v>
      </c>
      <c r="AZ49">
        <v>69.440832249674898</v>
      </c>
      <c r="BA49">
        <v>46.275642144341674</v>
      </c>
      <c r="BB49">
        <v>34.010248925132068</v>
      </c>
      <c r="BL49">
        <v>80.79534432589719</v>
      </c>
      <c r="BM49">
        <v>95.465723215560601</v>
      </c>
      <c r="BO49">
        <v>85.160038797284173</v>
      </c>
      <c r="BP49">
        <v>45.833333333333329</v>
      </c>
      <c r="BZ49">
        <v>63.649025069637879</v>
      </c>
      <c r="CF49">
        <v>100</v>
      </c>
      <c r="CI49">
        <v>89.247311827956992</v>
      </c>
      <c r="CU49">
        <v>94.986072423398312</v>
      </c>
      <c r="CW49">
        <v>91.801075268817186</v>
      </c>
      <c r="DA49">
        <v>94.986072423398298</v>
      </c>
      <c r="DD49">
        <v>47.106481481481481</v>
      </c>
      <c r="DG49">
        <v>33.794482080246233</v>
      </c>
      <c r="DK49">
        <v>0</v>
      </c>
      <c r="DM49">
        <v>97.976570820021294</v>
      </c>
      <c r="DN49">
        <v>0</v>
      </c>
      <c r="DY49">
        <v>0</v>
      </c>
      <c r="DZ49">
        <v>0</v>
      </c>
      <c r="EJ49">
        <v>0</v>
      </c>
      <c r="EK49">
        <v>0</v>
      </c>
      <c r="EL49">
        <v>0</v>
      </c>
      <c r="EM49">
        <v>0</v>
      </c>
      <c r="FB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HA49">
        <v>0</v>
      </c>
      <c r="IA49">
        <v>0</v>
      </c>
      <c r="IE49">
        <v>91.453229398663694</v>
      </c>
      <c r="JC49">
        <v>0</v>
      </c>
    </row>
    <row r="50" spans="1:264" x14ac:dyDescent="0.2">
      <c r="A50" t="str">
        <v>Loughborough University</v>
      </c>
      <c r="B50" t="str">
        <v>Erin McCormack</v>
      </c>
      <c r="C50" s="17">
        <v>69.440832249674898</v>
      </c>
      <c r="E50" t="str">
        <v>Loughborough University</v>
      </c>
      <c r="F50" t="str">
        <v>Erin McCormack</v>
      </c>
      <c r="G50">
        <v>0</v>
      </c>
      <c r="J50" s="1" t="s">
        <v>64</v>
      </c>
      <c r="AH50">
        <v>95.698924731182785</v>
      </c>
      <c r="BR50">
        <v>96.796657381615574</v>
      </c>
      <c r="BY50">
        <v>37.731481481481481</v>
      </c>
      <c r="CT50">
        <v>92.618384401114199</v>
      </c>
      <c r="CY50">
        <v>93.402777777777786</v>
      </c>
      <c r="EX50">
        <v>0</v>
      </c>
      <c r="EY50">
        <v>0</v>
      </c>
      <c r="FY50">
        <v>0</v>
      </c>
      <c r="FZ50">
        <v>60.450563204005</v>
      </c>
      <c r="GA50">
        <v>0</v>
      </c>
      <c r="GY50">
        <v>98.998748435544414</v>
      </c>
      <c r="HB50">
        <v>45.056320400500624</v>
      </c>
      <c r="IB50">
        <v>0</v>
      </c>
      <c r="IK50">
        <v>0</v>
      </c>
      <c r="JA50">
        <v>0</v>
      </c>
    </row>
    <row r="51" spans="1:264" x14ac:dyDescent="0.2">
      <c r="A51" t="str">
        <v>Northumbria University</v>
      </c>
      <c r="B51" t="str">
        <v>Rachel Bate</v>
      </c>
      <c r="C51" s="17">
        <v>0</v>
      </c>
      <c r="E51" t="str">
        <v>Northumbria University</v>
      </c>
      <c r="F51" t="str">
        <v>Rachel Bate</v>
      </c>
      <c r="G51">
        <v>58.290155440414502</v>
      </c>
      <c r="J51" s="1" t="s">
        <v>78</v>
      </c>
      <c r="O51">
        <v>91.532258064516114</v>
      </c>
      <c r="CL51">
        <v>93.593314763231177</v>
      </c>
      <c r="GX51">
        <v>86.483103879849793</v>
      </c>
      <c r="HD51">
        <v>63.829787234042549</v>
      </c>
      <c r="HJ51">
        <v>99.749687108886107</v>
      </c>
      <c r="HP51">
        <v>96.755162241887902</v>
      </c>
    </row>
    <row r="52" spans="1:264" x14ac:dyDescent="0.2">
      <c r="A52" t="str">
        <v>University of Leeds</v>
      </c>
      <c r="B52" t="str">
        <v>Adriana Housty</v>
      </c>
      <c r="C52" s="17">
        <v>0</v>
      </c>
      <c r="E52" t="str">
        <v>University of Leeds</v>
      </c>
      <c r="F52" t="str">
        <v>Adriana Housty</v>
      </c>
      <c r="G52">
        <v>49.999999999999986</v>
      </c>
      <c r="J52" s="1" t="s">
        <v>51</v>
      </c>
      <c r="L52">
        <v>0</v>
      </c>
      <c r="M52">
        <v>85.236768802228397</v>
      </c>
      <c r="R52">
        <v>0</v>
      </c>
      <c r="V52">
        <v>90.112640801001248</v>
      </c>
      <c r="AO52">
        <v>95.264623955431745</v>
      </c>
      <c r="AU52">
        <v>57.795698924731177</v>
      </c>
      <c r="AX52">
        <v>89.51612903225805</v>
      </c>
      <c r="BF52">
        <v>36.566440349175558</v>
      </c>
      <c r="BG52">
        <v>71.48399612027157</v>
      </c>
      <c r="BJ52">
        <v>63.704630788485602</v>
      </c>
      <c r="BV52">
        <v>67.08385481852315</v>
      </c>
      <c r="BX52">
        <v>94.444444444444429</v>
      </c>
      <c r="CC52">
        <v>0</v>
      </c>
      <c r="CE52">
        <v>31.339401820546165</v>
      </c>
      <c r="CQ52">
        <v>93.817204301075265</v>
      </c>
      <c r="DB52">
        <v>0</v>
      </c>
      <c r="DI52">
        <v>31.712962962962958</v>
      </c>
      <c r="DJ52">
        <v>94.515590200445445</v>
      </c>
      <c r="DW52">
        <v>0</v>
      </c>
      <c r="ET52">
        <v>90.188172043010738</v>
      </c>
      <c r="EU52">
        <v>0</v>
      </c>
      <c r="EV52">
        <v>0</v>
      </c>
      <c r="EW52">
        <v>0</v>
      </c>
      <c r="FD52">
        <v>0</v>
      </c>
      <c r="FF52">
        <v>0</v>
      </c>
      <c r="FG52">
        <v>0</v>
      </c>
      <c r="FH52">
        <v>0</v>
      </c>
      <c r="FI52">
        <v>0</v>
      </c>
      <c r="HG52">
        <v>0</v>
      </c>
      <c r="HL52">
        <v>41.301627033792236</v>
      </c>
      <c r="HY52">
        <v>89.922048997772819</v>
      </c>
      <c r="IU52">
        <v>97.717149220489958</v>
      </c>
      <c r="IZ52">
        <v>92.566815144766139</v>
      </c>
    </row>
    <row r="53" spans="1:264" x14ac:dyDescent="0.2">
      <c r="A53" t="str">
        <v>University of Lincoln</v>
      </c>
      <c r="B53" t="str">
        <v>Charlotte Grant</v>
      </c>
      <c r="C53" s="17">
        <v>27.308192457737317</v>
      </c>
      <c r="E53" t="str">
        <v>University of Lincoln</v>
      </c>
      <c r="F53" t="str">
        <v>Charlotte Grant</v>
      </c>
      <c r="G53">
        <v>0</v>
      </c>
      <c r="J53" s="1" t="s">
        <v>50</v>
      </c>
      <c r="N53">
        <v>64.455569461827281</v>
      </c>
      <c r="W53">
        <v>66.295264623955418</v>
      </c>
      <c r="AG53">
        <v>27.308192457737317</v>
      </c>
      <c r="AI53">
        <v>0</v>
      </c>
      <c r="AK53">
        <v>99.074074074074062</v>
      </c>
      <c r="AY53">
        <v>90.994623655913969</v>
      </c>
      <c r="BN53">
        <v>96.874999999999972</v>
      </c>
      <c r="BT53">
        <v>87.365591397849457</v>
      </c>
      <c r="BU53">
        <v>81.977471839799747</v>
      </c>
      <c r="CJ53">
        <v>61.978661493695441</v>
      </c>
      <c r="GB53">
        <v>79.474342928660818</v>
      </c>
      <c r="GC53">
        <v>0</v>
      </c>
      <c r="GD53">
        <v>100</v>
      </c>
      <c r="GE53">
        <v>83.729662077596998</v>
      </c>
      <c r="GF53">
        <v>76.720901126408009</v>
      </c>
      <c r="HE53">
        <v>75.344180225281605</v>
      </c>
      <c r="HX53">
        <v>0</v>
      </c>
      <c r="IG53">
        <v>0</v>
      </c>
      <c r="IJ53">
        <v>0</v>
      </c>
      <c r="IO53">
        <v>82.683741648106917</v>
      </c>
      <c r="IQ53">
        <v>96.603563474387528</v>
      </c>
      <c r="IT53">
        <v>67.093541202672597</v>
      </c>
    </row>
    <row r="54" spans="1:264" x14ac:dyDescent="0.2">
      <c r="A54" t="str">
        <v>Loughborough University</v>
      </c>
      <c r="B54" t="str">
        <v>Maddie Peacock</v>
      </c>
      <c r="C54" s="17">
        <v>0</v>
      </c>
      <c r="E54" t="str">
        <v>Loughborough University</v>
      </c>
      <c r="F54" t="str">
        <v>Maddie Peacock</v>
      </c>
      <c r="G54">
        <v>0</v>
      </c>
      <c r="J54" s="1" t="s">
        <v>79</v>
      </c>
      <c r="AN54">
        <v>88.440111420612794</v>
      </c>
      <c r="BH54">
        <v>13.370473537604454</v>
      </c>
      <c r="CB54">
        <v>97.399219765929786</v>
      </c>
      <c r="CG54">
        <v>100</v>
      </c>
      <c r="CH54">
        <v>95.118898623279094</v>
      </c>
      <c r="CM54">
        <v>91.93758127438231</v>
      </c>
      <c r="CX54">
        <v>0</v>
      </c>
      <c r="DH54">
        <v>100</v>
      </c>
      <c r="DP54">
        <v>0</v>
      </c>
      <c r="DS54">
        <v>0</v>
      </c>
      <c r="EC54">
        <v>0</v>
      </c>
      <c r="FC54">
        <v>0</v>
      </c>
      <c r="GP54">
        <v>95.61952440550688</v>
      </c>
      <c r="GQ54">
        <v>59.073842302878596</v>
      </c>
      <c r="GR54">
        <v>94.493116395494354</v>
      </c>
      <c r="GW54">
        <v>0</v>
      </c>
      <c r="GZ54">
        <v>88.61076345431789</v>
      </c>
      <c r="HF54">
        <v>0</v>
      </c>
    </row>
    <row r="55" spans="1:264" x14ac:dyDescent="0.2">
      <c r="A55" t="str">
        <v>University of Leeds</v>
      </c>
      <c r="B55" t="str">
        <v>Sophie Munt</v>
      </c>
      <c r="C55" s="17">
        <v>0</v>
      </c>
      <c r="E55" t="str">
        <v>University of Leeds</v>
      </c>
      <c r="F55" t="str">
        <v>Sophie Munt</v>
      </c>
      <c r="G55">
        <v>0</v>
      </c>
      <c r="J55" s="1" t="s">
        <v>43</v>
      </c>
      <c r="X55">
        <v>94.758064516129025</v>
      </c>
      <c r="AA55">
        <v>100</v>
      </c>
      <c r="AE55">
        <v>95.089717757928639</v>
      </c>
      <c r="AM55">
        <v>54.838709677419352</v>
      </c>
      <c r="AQ55">
        <v>87.499999999999986</v>
      </c>
      <c r="AS55">
        <v>94.018205461638487</v>
      </c>
      <c r="BD55">
        <v>96.749024707412218</v>
      </c>
      <c r="CK55">
        <v>98.372966207759688</v>
      </c>
      <c r="CP55">
        <v>82.184655396618993</v>
      </c>
      <c r="CV55">
        <v>84.677419354838705</v>
      </c>
      <c r="DF55">
        <v>90.897269180754222</v>
      </c>
      <c r="DX55">
        <v>0</v>
      </c>
      <c r="EN55">
        <v>0</v>
      </c>
      <c r="FJ55">
        <v>0</v>
      </c>
      <c r="JD55">
        <v>0</v>
      </c>
    </row>
    <row r="56" spans="1:264" x14ac:dyDescent="0.2">
      <c r="A56" t="str">
        <v>Loughborough University</v>
      </c>
      <c r="B56" t="str">
        <v>Benito Golia-Foxely</v>
      </c>
      <c r="C56" s="17">
        <v>97.916666666666657</v>
      </c>
      <c r="E56" t="str">
        <v>Loughborough University</v>
      </c>
      <c r="F56" t="str">
        <v>Benito Golia-Foxely</v>
      </c>
      <c r="G56">
        <v>100</v>
      </c>
      <c r="J56" s="1" t="s">
        <v>53</v>
      </c>
      <c r="AC56">
        <v>0</v>
      </c>
      <c r="BS56">
        <v>100</v>
      </c>
      <c r="BW56">
        <v>61.493695441319119</v>
      </c>
      <c r="GT56">
        <v>0</v>
      </c>
      <c r="HH56">
        <v>0</v>
      </c>
      <c r="IH56">
        <v>98.273942093541194</v>
      </c>
    </row>
    <row r="57" spans="1:264" x14ac:dyDescent="0.2">
      <c r="A57" t="str">
        <v>University of Lincoln</v>
      </c>
      <c r="B57" t="str">
        <v>Jake Robinson</v>
      </c>
      <c r="C57" s="17">
        <v>96.874999999999972</v>
      </c>
      <c r="E57" t="str">
        <v>University of Lincoln</v>
      </c>
      <c r="F57" t="str">
        <v>Jake Robinson</v>
      </c>
      <c r="G57">
        <v>94.193548387096783</v>
      </c>
      <c r="J57" s="1" t="s">
        <v>52</v>
      </c>
      <c r="Q57">
        <v>100</v>
      </c>
      <c r="T57">
        <v>86.55913978494624</v>
      </c>
      <c r="BC57">
        <v>100</v>
      </c>
      <c r="CO57">
        <v>85.51532033426183</v>
      </c>
      <c r="CR57">
        <v>85.097493036211688</v>
      </c>
      <c r="CZ57">
        <v>92.327698309492845</v>
      </c>
      <c r="DC57">
        <v>89.784946236559151</v>
      </c>
      <c r="DR57">
        <v>0</v>
      </c>
      <c r="EZ57">
        <v>82.79569892473117</v>
      </c>
      <c r="FA57">
        <v>0</v>
      </c>
      <c r="GG57">
        <v>52.315394242803492</v>
      </c>
      <c r="GH57">
        <v>60.075093867334161</v>
      </c>
      <c r="GI57">
        <v>71.088861076345424</v>
      </c>
      <c r="GJ57">
        <v>75.96996245306633</v>
      </c>
      <c r="GK57">
        <v>81.602002503128915</v>
      </c>
      <c r="GL57">
        <v>75.844806007509362</v>
      </c>
      <c r="GM57">
        <v>61.827284105131412</v>
      </c>
      <c r="GN57">
        <v>0</v>
      </c>
      <c r="GO57">
        <v>0</v>
      </c>
      <c r="GU57">
        <v>69.837296620775959</v>
      </c>
      <c r="HI57">
        <v>82.978723404255334</v>
      </c>
      <c r="HM57">
        <v>92.035398230088504</v>
      </c>
      <c r="HN57">
        <v>100</v>
      </c>
      <c r="HO57">
        <v>87.61061946902656</v>
      </c>
      <c r="II57">
        <v>88.669265033407569</v>
      </c>
      <c r="IS57">
        <v>92.010022271714902</v>
      </c>
      <c r="IV57">
        <v>87.694877505567931</v>
      </c>
    </row>
    <row r="58" spans="1:264" x14ac:dyDescent="0.2">
      <c r="A58" t="str">
        <v>University of York</v>
      </c>
      <c r="B58" t="str">
        <v>James Rowe</v>
      </c>
      <c r="C58" s="17">
        <v>100</v>
      </c>
      <c r="E58" t="str">
        <v>University of York</v>
      </c>
      <c r="F58" t="str">
        <v>James Rowe</v>
      </c>
      <c r="G58">
        <v>87.526881720430126</v>
      </c>
      <c r="J58" s="1" t="s">
        <v>65</v>
      </c>
      <c r="Z58">
        <v>93.010752688172019</v>
      </c>
      <c r="AF58">
        <v>79.84981226533165</v>
      </c>
      <c r="BQ58">
        <v>100</v>
      </c>
      <c r="CN58">
        <v>78.598247809762185</v>
      </c>
      <c r="CS58">
        <v>90.637191157347189</v>
      </c>
      <c r="ED58">
        <v>0</v>
      </c>
      <c r="EE58">
        <v>84.005376344086017</v>
      </c>
      <c r="HK58">
        <v>93.617021276595736</v>
      </c>
      <c r="IF58">
        <v>98.969933184855222</v>
      </c>
      <c r="IN58">
        <v>96.742761692650319</v>
      </c>
      <c r="IX58">
        <v>0</v>
      </c>
    </row>
    <row r="59" spans="1:264" x14ac:dyDescent="0.2">
      <c r="A59" t="str">
        <v>University of Leeds</v>
      </c>
      <c r="B59" t="str">
        <v>Joe Reynolds</v>
      </c>
      <c r="C59" s="17">
        <v>94.444444444444429</v>
      </c>
      <c r="E59" t="str">
        <v>University of Leeds</v>
      </c>
      <c r="F59" t="str">
        <v>Joe Reynolds</v>
      </c>
      <c r="G59">
        <v>81.290322580645167</v>
      </c>
      <c r="J59" s="1" t="s">
        <v>235</v>
      </c>
      <c r="DL59">
        <v>0</v>
      </c>
      <c r="DQ59">
        <v>0</v>
      </c>
      <c r="DT59">
        <v>0</v>
      </c>
      <c r="DU59">
        <v>0</v>
      </c>
      <c r="DV59">
        <v>0</v>
      </c>
      <c r="FT59">
        <v>0</v>
      </c>
      <c r="FU59">
        <v>0</v>
      </c>
      <c r="FV59">
        <v>0</v>
      </c>
      <c r="HU59">
        <v>0</v>
      </c>
      <c r="HV59">
        <v>0</v>
      </c>
      <c r="HW59">
        <v>0</v>
      </c>
    </row>
    <row r="60" spans="1:264" x14ac:dyDescent="0.2">
      <c r="A60" t="str">
        <v>Leeds Beckett University</v>
      </c>
      <c r="B60" t="str">
        <v>Thomas March</v>
      </c>
      <c r="C60" s="17">
        <v>89.351851851851833</v>
      </c>
      <c r="E60" t="str">
        <v>Leeds Beckett University</v>
      </c>
      <c r="F60" t="str">
        <v>Thomas March</v>
      </c>
      <c r="G60">
        <v>71.18279569892475</v>
      </c>
      <c r="J60" s="1" t="s">
        <v>248</v>
      </c>
      <c r="DO60">
        <v>0</v>
      </c>
      <c r="FX60">
        <v>0</v>
      </c>
      <c r="HT60">
        <v>0</v>
      </c>
      <c r="HZ60">
        <v>0</v>
      </c>
      <c r="IC60">
        <v>0</v>
      </c>
      <c r="ID60">
        <v>0</v>
      </c>
      <c r="IP60">
        <v>0</v>
      </c>
    </row>
    <row r="61" spans="1:264" x14ac:dyDescent="0.2">
      <c r="A61" t="str">
        <v>Loughborough University</v>
      </c>
      <c r="B61" t="str">
        <v>Tanvir Radhoa</v>
      </c>
      <c r="C61" s="17">
        <v>47.106481481481481</v>
      </c>
      <c r="E61" t="str">
        <v>Loughborough University</v>
      </c>
      <c r="F61" t="str">
        <v>Tanvir Radhoa</v>
      </c>
      <c r="G61">
        <v>78.06451612903227</v>
      </c>
      <c r="J61" s="1" t="s">
        <v>238</v>
      </c>
      <c r="EA61">
        <v>0</v>
      </c>
      <c r="EB61">
        <v>0</v>
      </c>
      <c r="EF61">
        <v>0</v>
      </c>
      <c r="EG61">
        <v>0</v>
      </c>
      <c r="FE61">
        <v>0</v>
      </c>
    </row>
    <row r="62" spans="1:264" x14ac:dyDescent="0.2">
      <c r="A62" t="str">
        <v>Sheffield Hallam University</v>
      </c>
      <c r="B62" t="str">
        <v>Joeseph Gunning-Thompson</v>
      </c>
      <c r="C62" s="17">
        <v>37.731481481481481</v>
      </c>
      <c r="E62" t="str">
        <v>Sheffield Hallam University</v>
      </c>
      <c r="F62" t="str">
        <v>Joeseph Gunning-Thompson</v>
      </c>
      <c r="G62">
        <v>72.258064516129053</v>
      </c>
      <c r="J62" s="1" t="s">
        <v>247</v>
      </c>
      <c r="EH62">
        <v>0</v>
      </c>
      <c r="EI62">
        <v>0</v>
      </c>
      <c r="GS62">
        <v>0</v>
      </c>
      <c r="HQ62">
        <v>0</v>
      </c>
      <c r="HR62">
        <v>0</v>
      </c>
      <c r="HS62">
        <v>0</v>
      </c>
      <c r="IL62">
        <v>0</v>
      </c>
      <c r="IM62">
        <v>0</v>
      </c>
      <c r="IR62">
        <v>0</v>
      </c>
      <c r="IW62">
        <v>0</v>
      </c>
      <c r="IY62">
        <v>0</v>
      </c>
      <c r="JB62">
        <v>0</v>
      </c>
    </row>
    <row r="63" spans="1:264" x14ac:dyDescent="0.2">
      <c r="A63" t="str">
        <v>University of Lincoln</v>
      </c>
      <c r="B63" t="str">
        <v>Dan Jones</v>
      </c>
      <c r="C63" s="17">
        <v>99.074074074074062</v>
      </c>
      <c r="E63" t="str">
        <v>University of Lincoln</v>
      </c>
      <c r="F63" t="str">
        <v>Dan Jones</v>
      </c>
      <c r="G63">
        <v>0</v>
      </c>
    </row>
    <row r="64" spans="1:264" x14ac:dyDescent="0.2">
      <c r="A64" t="str">
        <v>Sheffield Hallam University</v>
      </c>
      <c r="B64" t="str">
        <v>Samuel Moorhouse</v>
      </c>
      <c r="C64" s="17">
        <v>93.402777777777786</v>
      </c>
      <c r="E64" t="str">
        <v>Sheffield Hallam University</v>
      </c>
      <c r="F64" t="str">
        <v>Samuel Moorhouse</v>
      </c>
      <c r="G64">
        <v>0</v>
      </c>
    </row>
    <row r="65" spans="1:264" x14ac:dyDescent="0.2">
      <c r="A65" t="str">
        <v>Loughborough University</v>
      </c>
      <c r="B65" t="str">
        <v>James Odonnell</v>
      </c>
      <c r="C65" s="17">
        <v>45.833333333333329</v>
      </c>
      <c r="E65" t="str">
        <v>Loughborough University</v>
      </c>
      <c r="F65" t="str">
        <v>James Odonnell</v>
      </c>
      <c r="G65">
        <v>45.806451612903231</v>
      </c>
    </row>
    <row r="66" spans="1:264" x14ac:dyDescent="0.2">
      <c r="A66" t="str">
        <v>Nottingham Trent University</v>
      </c>
      <c r="B66" t="str">
        <v>Nathanial Halls</v>
      </c>
      <c r="C66" s="17">
        <v>0</v>
      </c>
      <c r="E66" t="str">
        <v>Nottingham Trent University</v>
      </c>
      <c r="F66" t="str">
        <v>Nathanial Halls</v>
      </c>
      <c r="G66">
        <v>47.096774193548391</v>
      </c>
    </row>
    <row r="67" spans="1:264" x14ac:dyDescent="0.2">
      <c r="A67" t="str">
        <v>University of Leeds</v>
      </c>
      <c r="B67" t="str">
        <v>Xavier Caine</v>
      </c>
      <c r="C67" s="17">
        <v>31.712962962962958</v>
      </c>
      <c r="E67" t="str">
        <v>University of Leeds</v>
      </c>
      <c r="F67" t="str">
        <v>Xavier Caine</v>
      </c>
      <c r="G67">
        <v>0</v>
      </c>
      <c r="J67" s="18" t="s">
        <v>220</v>
      </c>
      <c r="K67" s="18" t="s">
        <v>217</v>
      </c>
    </row>
    <row r="68" spans="1:264" x14ac:dyDescent="0.2">
      <c r="A68" t="str">
        <v>Loughborough University</v>
      </c>
      <c r="B68" t="str">
        <v>Israel Jerome Tayo Olatunde</v>
      </c>
      <c r="C68" s="17">
        <v>0</v>
      </c>
      <c r="E68" t="str">
        <v>Loughborough University</v>
      </c>
      <c r="F68" t="str">
        <v>Israel Jerome Tayo Olatunde</v>
      </c>
      <c r="G68">
        <v>0</v>
      </c>
      <c r="J68" s="18" t="s">
        <v>218</v>
      </c>
      <c r="K68" t="s">
        <v>123</v>
      </c>
      <c r="L68" t="s">
        <v>106</v>
      </c>
      <c r="M68" t="s">
        <v>91</v>
      </c>
      <c r="N68" t="s">
        <v>186</v>
      </c>
      <c r="O68" t="s">
        <v>146</v>
      </c>
      <c r="P68" t="s">
        <v>193</v>
      </c>
      <c r="Q68" t="s">
        <v>58</v>
      </c>
      <c r="R68" t="s">
        <v>93</v>
      </c>
      <c r="S68" t="s">
        <v>100</v>
      </c>
      <c r="T68" t="s">
        <v>136</v>
      </c>
      <c r="U68" t="s">
        <v>117</v>
      </c>
      <c r="V68" t="s">
        <v>173</v>
      </c>
      <c r="W68" t="s">
        <v>205</v>
      </c>
      <c r="X68" t="s">
        <v>94</v>
      </c>
      <c r="Y68" t="s">
        <v>130</v>
      </c>
      <c r="Z68" t="s">
        <v>177</v>
      </c>
      <c r="AA68" t="s">
        <v>145</v>
      </c>
      <c r="AB68" t="s">
        <v>49</v>
      </c>
      <c r="AC68" t="s">
        <v>74</v>
      </c>
      <c r="AD68" t="s">
        <v>69</v>
      </c>
      <c r="AE68" t="s">
        <v>175</v>
      </c>
      <c r="AF68" t="s">
        <v>48</v>
      </c>
      <c r="AG68" t="s">
        <v>153</v>
      </c>
      <c r="AH68" t="s">
        <v>111</v>
      </c>
      <c r="AI68" t="s">
        <v>128</v>
      </c>
      <c r="AJ68" t="s">
        <v>95</v>
      </c>
      <c r="AK68" t="s">
        <v>109</v>
      </c>
      <c r="AL68" t="s">
        <v>70</v>
      </c>
      <c r="AM68" t="s">
        <v>62</v>
      </c>
      <c r="AN68" t="s">
        <v>131</v>
      </c>
      <c r="AO68" t="s">
        <v>84</v>
      </c>
      <c r="AP68" t="s">
        <v>92</v>
      </c>
      <c r="AQ68" t="s">
        <v>120</v>
      </c>
      <c r="AR68" t="s">
        <v>133</v>
      </c>
      <c r="AS68" t="s">
        <v>101</v>
      </c>
      <c r="AT68" t="s">
        <v>113</v>
      </c>
      <c r="AU68" t="s">
        <v>119</v>
      </c>
      <c r="AV68" t="s">
        <v>140</v>
      </c>
      <c r="AW68" t="s">
        <v>144</v>
      </c>
      <c r="AX68" t="s">
        <v>176</v>
      </c>
      <c r="AY68" t="s">
        <v>138</v>
      </c>
      <c r="AZ68" t="s">
        <v>126</v>
      </c>
      <c r="BA68" t="s">
        <v>118</v>
      </c>
      <c r="BB68" t="s">
        <v>47</v>
      </c>
      <c r="BC68" t="s">
        <v>44</v>
      </c>
      <c r="BD68" t="s">
        <v>81</v>
      </c>
      <c r="BE68" t="s">
        <v>116</v>
      </c>
      <c r="BF68" t="s">
        <v>134</v>
      </c>
      <c r="BG68" t="s">
        <v>55</v>
      </c>
      <c r="BH68" t="s">
        <v>57</v>
      </c>
      <c r="BI68" t="s">
        <v>85</v>
      </c>
      <c r="BJ68" t="s">
        <v>125</v>
      </c>
      <c r="BK68" t="s">
        <v>172</v>
      </c>
      <c r="BL68" t="s">
        <v>135</v>
      </c>
      <c r="BM68" t="s">
        <v>61</v>
      </c>
      <c r="BN68" t="s">
        <v>46</v>
      </c>
      <c r="BO68" t="s">
        <v>73</v>
      </c>
      <c r="BP68" t="s">
        <v>60</v>
      </c>
      <c r="BQ68" t="s">
        <v>75</v>
      </c>
      <c r="BR68" t="s">
        <v>77</v>
      </c>
      <c r="BS68" t="s">
        <v>90</v>
      </c>
      <c r="BT68" t="s">
        <v>121</v>
      </c>
      <c r="BU68" t="s">
        <v>127</v>
      </c>
      <c r="BV68" t="s">
        <v>189</v>
      </c>
      <c r="BW68" t="s">
        <v>181</v>
      </c>
      <c r="BX68" t="s">
        <v>59</v>
      </c>
      <c r="BY68" t="s">
        <v>67</v>
      </c>
      <c r="BZ68" t="s">
        <v>71</v>
      </c>
      <c r="CA68" t="s">
        <v>88</v>
      </c>
      <c r="CB68" t="s">
        <v>124</v>
      </c>
      <c r="CC68" t="s">
        <v>105</v>
      </c>
      <c r="CD68" t="s">
        <v>56</v>
      </c>
      <c r="CE68" t="s">
        <v>122</v>
      </c>
      <c r="CF68" t="s">
        <v>107</v>
      </c>
      <c r="CG68" t="s">
        <v>142</v>
      </c>
      <c r="CH68" t="s">
        <v>102</v>
      </c>
      <c r="CI68" t="s">
        <v>158</v>
      </c>
      <c r="CJ68" t="s">
        <v>143</v>
      </c>
      <c r="CK68" t="s">
        <v>54</v>
      </c>
      <c r="CL68" t="s">
        <v>174</v>
      </c>
      <c r="CM68" t="s">
        <v>80</v>
      </c>
      <c r="CN68" t="s">
        <v>104</v>
      </c>
      <c r="CO68" t="s">
        <v>192</v>
      </c>
      <c r="CP68" t="s">
        <v>82</v>
      </c>
      <c r="CQ68" t="s">
        <v>114</v>
      </c>
      <c r="CR68" t="s">
        <v>139</v>
      </c>
      <c r="CS68" t="s">
        <v>83</v>
      </c>
      <c r="CT68" t="s">
        <v>110</v>
      </c>
      <c r="CU68" t="s">
        <v>89</v>
      </c>
      <c r="CV68" t="s">
        <v>87</v>
      </c>
      <c r="CW68" t="s">
        <v>132</v>
      </c>
      <c r="CX68" t="s">
        <v>141</v>
      </c>
      <c r="CY68" t="s">
        <v>129</v>
      </c>
      <c r="CZ68" t="s">
        <v>72</v>
      </c>
      <c r="DA68" t="s">
        <v>112</v>
      </c>
      <c r="DB68" t="s">
        <v>86</v>
      </c>
      <c r="DC68" t="s">
        <v>108</v>
      </c>
      <c r="DD68" t="s">
        <v>137</v>
      </c>
      <c r="DE68" t="s">
        <v>76</v>
      </c>
      <c r="DF68" t="s">
        <v>66</v>
      </c>
      <c r="DG68" t="s">
        <v>115</v>
      </c>
      <c r="DH68" t="s">
        <v>45</v>
      </c>
      <c r="DI68" t="s">
        <v>159</v>
      </c>
      <c r="DJ68" t="s">
        <v>68</v>
      </c>
      <c r="DK68" t="s">
        <v>231</v>
      </c>
      <c r="DL68" t="s">
        <v>249</v>
      </c>
      <c r="DM68" t="s">
        <v>333</v>
      </c>
      <c r="DN68" t="s">
        <v>250</v>
      </c>
      <c r="DO68" t="s">
        <v>251</v>
      </c>
      <c r="DP68" t="s">
        <v>233</v>
      </c>
      <c r="DQ68" t="s">
        <v>234</v>
      </c>
      <c r="DR68" t="s">
        <v>232</v>
      </c>
      <c r="DS68" t="s">
        <v>328</v>
      </c>
      <c r="DT68" t="s">
        <v>327</v>
      </c>
      <c r="DU68" t="s">
        <v>332</v>
      </c>
      <c r="DV68" t="s">
        <v>331</v>
      </c>
      <c r="DW68" t="s">
        <v>326</v>
      </c>
      <c r="DX68" t="s">
        <v>329</v>
      </c>
      <c r="DY68" t="s">
        <v>330</v>
      </c>
      <c r="DZ68" t="s">
        <v>237</v>
      </c>
      <c r="EA68" t="s">
        <v>239</v>
      </c>
      <c r="EB68" t="s">
        <v>236</v>
      </c>
      <c r="EC68" t="s">
        <v>303</v>
      </c>
      <c r="ED68" t="s">
        <v>304</v>
      </c>
      <c r="EE68" t="s">
        <v>302</v>
      </c>
      <c r="EF68" t="s">
        <v>305</v>
      </c>
      <c r="EG68" t="s">
        <v>306</v>
      </c>
      <c r="EH68" t="s">
        <v>307</v>
      </c>
      <c r="EI68" t="s">
        <v>308</v>
      </c>
      <c r="EJ68" t="s">
        <v>309</v>
      </c>
      <c r="EK68" t="s">
        <v>310</v>
      </c>
      <c r="EL68" t="s">
        <v>311</v>
      </c>
      <c r="EM68" t="s">
        <v>312</v>
      </c>
      <c r="EN68" t="s">
        <v>313</v>
      </c>
      <c r="EO68" t="s">
        <v>301</v>
      </c>
      <c r="EP68" t="s">
        <v>314</v>
      </c>
      <c r="EQ68" t="s">
        <v>315</v>
      </c>
      <c r="ER68" t="s">
        <v>316</v>
      </c>
      <c r="ES68" t="s">
        <v>317</v>
      </c>
      <c r="ET68" t="s">
        <v>318</v>
      </c>
      <c r="EU68" t="s">
        <v>319</v>
      </c>
      <c r="EV68" t="s">
        <v>320</v>
      </c>
      <c r="EW68" t="s">
        <v>321</v>
      </c>
      <c r="EX68" t="s">
        <v>322</v>
      </c>
      <c r="EY68" t="s">
        <v>323</v>
      </c>
      <c r="EZ68" t="s">
        <v>324</v>
      </c>
      <c r="FA68" t="s">
        <v>325</v>
      </c>
      <c r="FB68" t="s">
        <v>240</v>
      </c>
      <c r="FC68" t="s">
        <v>241</v>
      </c>
      <c r="FD68" t="s">
        <v>275</v>
      </c>
      <c r="FE68" t="s">
        <v>242</v>
      </c>
      <c r="FF68" t="s">
        <v>279</v>
      </c>
      <c r="FG68" t="s">
        <v>287</v>
      </c>
      <c r="FH68" t="s">
        <v>283</v>
      </c>
      <c r="FI68" t="s">
        <v>285</v>
      </c>
      <c r="FJ68" t="s">
        <v>282</v>
      </c>
      <c r="FK68" t="s">
        <v>297</v>
      </c>
      <c r="FL68" t="s">
        <v>278</v>
      </c>
      <c r="FM68" t="s">
        <v>298</v>
      </c>
      <c r="FN68" t="s">
        <v>288</v>
      </c>
      <c r="FO68" t="s">
        <v>286</v>
      </c>
      <c r="FP68" t="s">
        <v>294</v>
      </c>
      <c r="FQ68" t="s">
        <v>284</v>
      </c>
      <c r="FR68" t="s">
        <v>300</v>
      </c>
      <c r="FS68" t="s">
        <v>276</v>
      </c>
      <c r="FT68" t="s">
        <v>295</v>
      </c>
      <c r="FU68" t="s">
        <v>296</v>
      </c>
      <c r="FV68" t="s">
        <v>292</v>
      </c>
      <c r="FW68" t="s">
        <v>178</v>
      </c>
      <c r="FX68" t="s">
        <v>291</v>
      </c>
      <c r="FY68" t="s">
        <v>293</v>
      </c>
      <c r="FZ68" t="s">
        <v>147</v>
      </c>
      <c r="GA68" t="s">
        <v>281</v>
      </c>
      <c r="GB68" t="s">
        <v>184</v>
      </c>
      <c r="GC68" t="s">
        <v>299</v>
      </c>
      <c r="GD68" t="s">
        <v>197</v>
      </c>
      <c r="GE68" t="s">
        <v>185</v>
      </c>
      <c r="GF68" t="s">
        <v>188</v>
      </c>
      <c r="GG68" t="s">
        <v>167</v>
      </c>
      <c r="GH68" t="s">
        <v>166</v>
      </c>
      <c r="GI68" t="s">
        <v>164</v>
      </c>
      <c r="GJ68" t="s">
        <v>165</v>
      </c>
      <c r="GK68" t="s">
        <v>169</v>
      </c>
      <c r="GL68" t="s">
        <v>168</v>
      </c>
      <c r="GM68" t="s">
        <v>163</v>
      </c>
      <c r="GN68" t="s">
        <v>277</v>
      </c>
      <c r="GO68" t="s">
        <v>289</v>
      </c>
      <c r="GP68" t="s">
        <v>157</v>
      </c>
      <c r="GQ68" t="s">
        <v>160</v>
      </c>
      <c r="GR68" t="s">
        <v>156</v>
      </c>
      <c r="GS68" t="s">
        <v>290</v>
      </c>
      <c r="GT68" t="s">
        <v>190</v>
      </c>
      <c r="GU68" t="s">
        <v>171</v>
      </c>
      <c r="GV68" t="s">
        <v>180</v>
      </c>
      <c r="GW68" t="s">
        <v>162</v>
      </c>
      <c r="GX68" t="s">
        <v>152</v>
      </c>
      <c r="GY68" t="s">
        <v>149</v>
      </c>
      <c r="GZ68" t="s">
        <v>161</v>
      </c>
      <c r="HA68" t="s">
        <v>280</v>
      </c>
      <c r="HB68" t="s">
        <v>148</v>
      </c>
      <c r="HC68" t="s">
        <v>179</v>
      </c>
      <c r="HD68" t="s">
        <v>150</v>
      </c>
      <c r="HE68" t="s">
        <v>187</v>
      </c>
      <c r="HF68" t="s">
        <v>155</v>
      </c>
      <c r="HG68" t="s">
        <v>182</v>
      </c>
      <c r="HH68" t="s">
        <v>191</v>
      </c>
      <c r="HI68" t="s">
        <v>170</v>
      </c>
      <c r="HJ68" t="s">
        <v>151</v>
      </c>
      <c r="HK68" t="s">
        <v>154</v>
      </c>
      <c r="HL68" t="s">
        <v>183</v>
      </c>
      <c r="HM68" t="s">
        <v>96</v>
      </c>
      <c r="HN68" t="s">
        <v>97</v>
      </c>
      <c r="HO68" t="s">
        <v>98</v>
      </c>
      <c r="HP68" t="s">
        <v>99</v>
      </c>
      <c r="HQ68" t="s">
        <v>243</v>
      </c>
      <c r="HR68" t="s">
        <v>244</v>
      </c>
      <c r="HS68" t="s">
        <v>245</v>
      </c>
      <c r="HT68" t="s">
        <v>246</v>
      </c>
      <c r="HU68" t="s">
        <v>252</v>
      </c>
      <c r="HV68" t="s">
        <v>253</v>
      </c>
      <c r="HW68" t="s">
        <v>254</v>
      </c>
      <c r="HX68" t="s">
        <v>255</v>
      </c>
      <c r="HY68" t="s">
        <v>204</v>
      </c>
      <c r="HZ68" t="s">
        <v>256</v>
      </c>
      <c r="IA68" t="s">
        <v>257</v>
      </c>
      <c r="IB68" t="s">
        <v>258</v>
      </c>
      <c r="IC68" t="s">
        <v>259</v>
      </c>
      <c r="ID68" t="s">
        <v>260</v>
      </c>
      <c r="IE68" t="s">
        <v>207</v>
      </c>
      <c r="IF68" t="s">
        <v>201</v>
      </c>
      <c r="IG68" t="s">
        <v>261</v>
      </c>
      <c r="IH68" t="s">
        <v>208</v>
      </c>
      <c r="II68" t="s">
        <v>199</v>
      </c>
      <c r="IJ68" t="s">
        <v>262</v>
      </c>
      <c r="IK68" t="s">
        <v>263</v>
      </c>
      <c r="IL68" t="s">
        <v>264</v>
      </c>
      <c r="IM68" t="s">
        <v>265</v>
      </c>
      <c r="IN68" t="s">
        <v>202</v>
      </c>
      <c r="IO68" t="s">
        <v>194</v>
      </c>
      <c r="IP68" t="s">
        <v>266</v>
      </c>
      <c r="IQ68" t="s">
        <v>196</v>
      </c>
      <c r="IR68" t="s">
        <v>267</v>
      </c>
      <c r="IS68" t="s">
        <v>200</v>
      </c>
      <c r="IT68" t="s">
        <v>195</v>
      </c>
      <c r="IU68" t="s">
        <v>203</v>
      </c>
      <c r="IV68" t="s">
        <v>198</v>
      </c>
      <c r="IW68" t="s">
        <v>268</v>
      </c>
      <c r="IX68" t="s">
        <v>270</v>
      </c>
      <c r="IY68" t="s">
        <v>206</v>
      </c>
      <c r="IZ68" t="s">
        <v>271</v>
      </c>
      <c r="JA68" t="s">
        <v>272</v>
      </c>
      <c r="JB68" t="s">
        <v>273</v>
      </c>
      <c r="JC68" t="s">
        <v>274</v>
      </c>
      <c r="JD68" t="s">
        <v>334</v>
      </c>
    </row>
    <row r="69" spans="1:264" x14ac:dyDescent="0.2">
      <c r="A69" t="str">
        <v>Nottingham Trent University</v>
      </c>
      <c r="B69" t="str">
        <v>Bodi Butler</v>
      </c>
      <c r="C69" s="17">
        <v>0</v>
      </c>
      <c r="E69" t="str">
        <v>Nottingham Trent University</v>
      </c>
      <c r="F69" t="str">
        <v>Bodi Butler</v>
      </c>
      <c r="G69">
        <v>0</v>
      </c>
      <c r="J69" s="1" t="s">
        <v>103</v>
      </c>
      <c r="AK69">
        <v>0</v>
      </c>
      <c r="BF69">
        <v>0</v>
      </c>
      <c r="BL69">
        <v>0</v>
      </c>
      <c r="GV69">
        <v>0</v>
      </c>
    </row>
    <row r="70" spans="1:264" x14ac:dyDescent="0.2">
      <c r="A70" t="str">
        <v>University of Nottingham</v>
      </c>
      <c r="B70" t="str">
        <v>Benjamin Stout</v>
      </c>
      <c r="C70" s="17">
        <v>0</v>
      </c>
      <c r="E70" t="str">
        <v>University of Nottingham</v>
      </c>
      <c r="F70" t="str">
        <v>Benjamin Stout</v>
      </c>
      <c r="G70">
        <v>0</v>
      </c>
      <c r="J70" s="1" t="s">
        <v>63</v>
      </c>
      <c r="K70">
        <v>0</v>
      </c>
      <c r="BJ70">
        <v>0</v>
      </c>
      <c r="CB70">
        <v>0</v>
      </c>
      <c r="CE70">
        <v>91.286863270777459</v>
      </c>
      <c r="DF70">
        <v>71.18279569892475</v>
      </c>
      <c r="EO70">
        <v>82.573726541554947</v>
      </c>
      <c r="EP70">
        <v>94.772117962466481</v>
      </c>
      <c r="EQ70">
        <v>91.957104557640761</v>
      </c>
      <c r="ER70">
        <v>73.190348525469147</v>
      </c>
      <c r="ES70">
        <v>48.525469168900791</v>
      </c>
      <c r="FW70">
        <v>42.34122042341221</v>
      </c>
      <c r="HC70">
        <v>0</v>
      </c>
    </row>
    <row r="71" spans="1:264" x14ac:dyDescent="0.2">
      <c r="A71" t="str">
        <v>Sheffield Hallam University</v>
      </c>
      <c r="B71" t="str">
        <v>Charlotte Wells</v>
      </c>
      <c r="C71" s="17">
        <v>95.698924731182785</v>
      </c>
      <c r="E71" t="str">
        <v>Sheffield Hallam University</v>
      </c>
      <c r="F71" t="str">
        <v>Charlotte Wells</v>
      </c>
      <c r="G71">
        <v>98.257372654155489</v>
      </c>
      <c r="J71" s="1" t="s">
        <v>42</v>
      </c>
      <c r="P71">
        <v>94.271481942714829</v>
      </c>
      <c r="S71">
        <v>89.922480620155028</v>
      </c>
      <c r="U71">
        <v>91.968911917098438</v>
      </c>
      <c r="Z71">
        <v>62.198391420911513</v>
      </c>
      <c r="AC71">
        <v>100</v>
      </c>
      <c r="AE71">
        <v>67.372353673723538</v>
      </c>
      <c r="AM71">
        <v>0</v>
      </c>
      <c r="AQ71">
        <v>95.854922279792746</v>
      </c>
      <c r="AS71">
        <v>0</v>
      </c>
      <c r="AU71">
        <v>93.264248704663217</v>
      </c>
      <c r="AW71">
        <v>88.60589812332438</v>
      </c>
      <c r="AX71">
        <v>94.271481942714829</v>
      </c>
      <c r="BA71">
        <v>0</v>
      </c>
      <c r="BB71">
        <v>49.963530269876003</v>
      </c>
      <c r="BC71">
        <v>33.187454412837347</v>
      </c>
      <c r="BM71">
        <v>81.188118811881196</v>
      </c>
      <c r="BN71">
        <v>96.717724288840273</v>
      </c>
      <c r="BP71">
        <v>99.819981998199822</v>
      </c>
      <c r="BQ71">
        <v>45.806451612903231</v>
      </c>
      <c r="CA71">
        <v>0</v>
      </c>
      <c r="CG71">
        <v>0</v>
      </c>
      <c r="CJ71">
        <v>96.246648793565669</v>
      </c>
      <c r="CV71">
        <v>0</v>
      </c>
      <c r="CX71">
        <v>100</v>
      </c>
      <c r="DB71">
        <v>0</v>
      </c>
      <c r="DE71">
        <v>78.06451612903227</v>
      </c>
      <c r="DH71">
        <v>35.448577680525169</v>
      </c>
      <c r="DK71">
        <v>32.603938730853393</v>
      </c>
      <c r="DM71">
        <v>97.231450719822803</v>
      </c>
      <c r="DN71">
        <v>97.342192691029894</v>
      </c>
      <c r="DY71">
        <v>0</v>
      </c>
      <c r="DZ71">
        <v>0</v>
      </c>
      <c r="EJ71">
        <v>94.772117962466481</v>
      </c>
      <c r="EK71">
        <v>47.98927613941018</v>
      </c>
      <c r="EL71">
        <v>63.136729222520103</v>
      </c>
      <c r="EM71">
        <v>96.782841823056302</v>
      </c>
      <c r="FB71">
        <v>93.026315789473685</v>
      </c>
      <c r="FK71">
        <v>93.64881693648816</v>
      </c>
      <c r="FL71">
        <v>97.882938978829387</v>
      </c>
      <c r="FM71">
        <v>53.673723536737242</v>
      </c>
      <c r="FN71">
        <v>76.836861768368621</v>
      </c>
      <c r="FO71">
        <v>88.542963885429643</v>
      </c>
      <c r="FP71">
        <v>90.909090909090921</v>
      </c>
      <c r="FQ71">
        <v>98.879202988792031</v>
      </c>
      <c r="FR71">
        <v>57.285180572851814</v>
      </c>
      <c r="FS71">
        <v>89.414694894146962</v>
      </c>
      <c r="HA71">
        <v>0</v>
      </c>
      <c r="IA71">
        <v>95.530726256983257</v>
      </c>
      <c r="IE71">
        <v>88.128491620111731</v>
      </c>
      <c r="JB71">
        <v>87.290502793296113</v>
      </c>
      <c r="JC71">
        <v>81.424581005586589</v>
      </c>
    </row>
    <row r="72" spans="1:264" x14ac:dyDescent="0.2">
      <c r="A72" t="str">
        <v>Loughborough University</v>
      </c>
      <c r="B72" t="str">
        <v>Rebecca Topping</v>
      </c>
      <c r="C72" s="17">
        <v>91.801075268817186</v>
      </c>
      <c r="E72" t="str">
        <v>Loughborough University</v>
      </c>
      <c r="F72" t="str">
        <v>Rebecca Topping</v>
      </c>
      <c r="G72">
        <v>100</v>
      </c>
      <c r="J72" s="1" t="s">
        <v>64</v>
      </c>
      <c r="AI72">
        <v>98.257372654155489</v>
      </c>
      <c r="BS72">
        <v>100</v>
      </c>
      <c r="BZ72">
        <v>72.258064516129053</v>
      </c>
      <c r="CU72">
        <v>89.736842105263165</v>
      </c>
      <c r="CZ72">
        <v>0</v>
      </c>
      <c r="EX72">
        <v>90.482573726541546</v>
      </c>
      <c r="EY72">
        <v>92.359249329758711</v>
      </c>
      <c r="FY72">
        <v>96.886674968866771</v>
      </c>
      <c r="FZ72">
        <v>86.924034869240359</v>
      </c>
      <c r="GA72">
        <v>60.273972602739732</v>
      </c>
      <c r="GY72">
        <v>0</v>
      </c>
      <c r="HB72">
        <v>0</v>
      </c>
      <c r="IB72">
        <v>80.86592178770951</v>
      </c>
      <c r="IK72">
        <v>92.318435754189949</v>
      </c>
      <c r="IZ72">
        <v>76.815642458100555</v>
      </c>
    </row>
    <row r="73" spans="1:264" x14ac:dyDescent="0.2">
      <c r="A73" t="str">
        <v>University of York</v>
      </c>
      <c r="B73" t="str">
        <v>Annie Wallace</v>
      </c>
      <c r="C73" s="17">
        <v>93.010752688172019</v>
      </c>
      <c r="E73" t="str">
        <v>University of York</v>
      </c>
      <c r="F73" t="str">
        <v>Annie Wallace</v>
      </c>
      <c r="G73">
        <v>94.101876675603208</v>
      </c>
      <c r="J73" s="1" t="s">
        <v>78</v>
      </c>
      <c r="O73">
        <v>0</v>
      </c>
      <c r="CM73">
        <v>0</v>
      </c>
      <c r="GX73">
        <v>0</v>
      </c>
      <c r="HD73">
        <v>0</v>
      </c>
      <c r="HJ73">
        <v>0</v>
      </c>
      <c r="HP73">
        <v>0</v>
      </c>
    </row>
    <row r="74" spans="1:264" x14ac:dyDescent="0.2">
      <c r="A74" t="str">
        <v>Leeds Beckett University</v>
      </c>
      <c r="B74" t="str">
        <v>Laura Clemen</v>
      </c>
      <c r="C74" s="17">
        <v>95.430107526881713</v>
      </c>
      <c r="E74" t="str">
        <v>Leeds Beckett University</v>
      </c>
      <c r="F74" t="str">
        <v>Laura Clemen</v>
      </c>
      <c r="G74">
        <v>91.286863270777459</v>
      </c>
      <c r="J74" s="1" t="s">
        <v>51</v>
      </c>
      <c r="L74">
        <v>49.999999999999986</v>
      </c>
      <c r="M74">
        <v>57.894736842105267</v>
      </c>
      <c r="R74">
        <v>0</v>
      </c>
      <c r="V74">
        <v>63.013698630136986</v>
      </c>
      <c r="W74">
        <v>58.655043586550434</v>
      </c>
      <c r="AP74">
        <v>89.473684210526315</v>
      </c>
      <c r="AV74">
        <v>88.169364881693639</v>
      </c>
      <c r="AY74">
        <v>0</v>
      </c>
      <c r="BG74">
        <v>0</v>
      </c>
      <c r="BH74">
        <v>59.135913591359149</v>
      </c>
      <c r="BK74">
        <v>83.437110834371111</v>
      </c>
      <c r="BW74">
        <v>30.136986301369863</v>
      </c>
      <c r="BY74">
        <v>81.290322580645167</v>
      </c>
      <c r="CD74">
        <v>37.443744374437443</v>
      </c>
      <c r="CF74">
        <v>80.310880829015531</v>
      </c>
      <c r="CR74">
        <v>92.359249329758711</v>
      </c>
      <c r="DC74">
        <v>0</v>
      </c>
      <c r="DJ74">
        <v>0</v>
      </c>
      <c r="DW74">
        <v>83.67875647668393</v>
      </c>
      <c r="ET74">
        <v>89.544235924932977</v>
      </c>
      <c r="EU74">
        <v>97.050938337801611</v>
      </c>
      <c r="EV74">
        <v>86.997319034852552</v>
      </c>
      <c r="EW74">
        <v>58.847184986595181</v>
      </c>
      <c r="FD74">
        <v>0</v>
      </c>
      <c r="FF74">
        <v>94.396014943960154</v>
      </c>
      <c r="FG74">
        <v>89.788293897882937</v>
      </c>
      <c r="FH74">
        <v>96.637608966376092</v>
      </c>
      <c r="FI74">
        <v>75.965130759651316</v>
      </c>
      <c r="HG74">
        <v>0</v>
      </c>
      <c r="HL74">
        <v>0</v>
      </c>
      <c r="HY74">
        <v>89.664804469273733</v>
      </c>
      <c r="IU74">
        <v>0</v>
      </c>
      <c r="IY74">
        <v>0</v>
      </c>
    </row>
    <row r="75" spans="1:264" x14ac:dyDescent="0.2">
      <c r="A75" t="str">
        <v>University of Leeds</v>
      </c>
      <c r="B75" t="str">
        <v>Nicole Latour</v>
      </c>
      <c r="C75" s="17">
        <v>93.817204301075265</v>
      </c>
      <c r="E75" t="str">
        <v>University of Leeds</v>
      </c>
      <c r="F75" t="str">
        <v>Nicole Latour</v>
      </c>
      <c r="G75">
        <v>92.359249329758711</v>
      </c>
      <c r="J75" s="1" t="s">
        <v>50</v>
      </c>
      <c r="N75">
        <v>0</v>
      </c>
      <c r="X75">
        <v>0</v>
      </c>
      <c r="AH75">
        <v>0</v>
      </c>
      <c r="AJ75">
        <v>0</v>
      </c>
      <c r="AL75">
        <v>89.198919891989206</v>
      </c>
      <c r="AZ75">
        <v>83.646112600536171</v>
      </c>
      <c r="BO75">
        <v>94.193548387096783</v>
      </c>
      <c r="BU75">
        <v>85.790884718498646</v>
      </c>
      <c r="BV75">
        <v>53.351206434316346</v>
      </c>
      <c r="CK75">
        <v>97.029702970297052</v>
      </c>
      <c r="GB75">
        <v>82.067247820672478</v>
      </c>
      <c r="GC75">
        <v>55.292652552926533</v>
      </c>
      <c r="GD75">
        <v>88.916562889165647</v>
      </c>
      <c r="GE75">
        <v>49.813200498132005</v>
      </c>
      <c r="GF75">
        <v>79.202988792029899</v>
      </c>
      <c r="HE75">
        <v>0</v>
      </c>
      <c r="HX75">
        <v>88.826815642458115</v>
      </c>
      <c r="IG75">
        <v>0</v>
      </c>
      <c r="IJ75">
        <v>76.536312849162016</v>
      </c>
      <c r="IO75">
        <v>0</v>
      </c>
      <c r="IQ75">
        <v>90.083798882681577</v>
      </c>
      <c r="IT75">
        <v>91.759776536312842</v>
      </c>
    </row>
    <row r="76" spans="1:264" x14ac:dyDescent="0.2">
      <c r="A76" t="str">
        <v>Loughborough University</v>
      </c>
      <c r="B76" t="str">
        <v>Louise Hirst</v>
      </c>
      <c r="C76" s="17">
        <v>89.247311827956992</v>
      </c>
      <c r="E76" t="str">
        <v>Loughborough University</v>
      </c>
      <c r="F76" t="str">
        <v>Louise Hirst</v>
      </c>
      <c r="G76">
        <v>96.246648793565669</v>
      </c>
      <c r="J76" s="1" t="s">
        <v>79</v>
      </c>
      <c r="AO76">
        <v>0</v>
      </c>
      <c r="BI76">
        <v>85</v>
      </c>
      <c r="CC76">
        <v>95.595854922279798</v>
      </c>
      <c r="CH76">
        <v>98.78183831672203</v>
      </c>
      <c r="CI76">
        <v>86.19302949061661</v>
      </c>
      <c r="CN76">
        <v>99.481865284974091</v>
      </c>
      <c r="CY76">
        <v>95.978552278820359</v>
      </c>
      <c r="DI76">
        <v>85.254691689008027</v>
      </c>
      <c r="DP76">
        <v>40.504050405040502</v>
      </c>
      <c r="DS76">
        <v>99.740932642487053</v>
      </c>
      <c r="EC76">
        <v>84.718498659517422</v>
      </c>
      <c r="FC76">
        <v>0</v>
      </c>
      <c r="GP76">
        <v>99.875466998754675</v>
      </c>
      <c r="GQ76">
        <v>59.153175591531756</v>
      </c>
      <c r="GR76">
        <v>100</v>
      </c>
      <c r="GW76">
        <v>0</v>
      </c>
      <c r="GZ76">
        <v>0</v>
      </c>
      <c r="HF76">
        <v>0</v>
      </c>
    </row>
    <row r="77" spans="1:264" x14ac:dyDescent="0.2">
      <c r="A77" t="str">
        <v>Leeds Beckett University</v>
      </c>
      <c r="B77" t="str">
        <v>Magan Cappi</v>
      </c>
      <c r="C77" s="17">
        <v>88.709677419354833</v>
      </c>
      <c r="E77" t="str">
        <v>Leeds Beckett University</v>
      </c>
      <c r="F77" t="str">
        <v>Magan Cappi</v>
      </c>
      <c r="G77">
        <v>91.957104557640761</v>
      </c>
      <c r="J77" s="1" t="s">
        <v>43</v>
      </c>
      <c r="Y77">
        <v>0</v>
      </c>
      <c r="AB77">
        <v>96.061269146608325</v>
      </c>
      <c r="AF77">
        <v>100</v>
      </c>
      <c r="AN77">
        <v>93.163538873994625</v>
      </c>
      <c r="AR77">
        <v>80.965147453083105</v>
      </c>
      <c r="AT77">
        <v>91.45077720207253</v>
      </c>
      <c r="BE77">
        <v>60.103626943005182</v>
      </c>
      <c r="CL77">
        <v>98.754669987546691</v>
      </c>
      <c r="CQ77">
        <v>100</v>
      </c>
      <c r="CW77">
        <v>31.099195710455756</v>
      </c>
      <c r="DG77">
        <v>88.082901554404145</v>
      </c>
      <c r="DX77">
        <v>94.818652849740943</v>
      </c>
      <c r="EN77">
        <v>0</v>
      </c>
      <c r="FJ77">
        <v>94.396014943960168</v>
      </c>
      <c r="JD77">
        <v>94.559585492227967</v>
      </c>
    </row>
    <row r="78" spans="1:264" x14ac:dyDescent="0.2">
      <c r="A78" t="str">
        <v>University of Leeds</v>
      </c>
      <c r="B78" t="str">
        <v>Ava Wood</v>
      </c>
      <c r="C78" s="17">
        <v>90.188172043010738</v>
      </c>
      <c r="E78" t="str">
        <v>University of Leeds</v>
      </c>
      <c r="F78" t="str">
        <v>Ava Wood</v>
      </c>
      <c r="G78">
        <v>89.544235924932977</v>
      </c>
      <c r="J78" s="1" t="s">
        <v>53</v>
      </c>
      <c r="AD78">
        <v>0</v>
      </c>
      <c r="BT78">
        <v>0</v>
      </c>
      <c r="BX78">
        <v>0</v>
      </c>
      <c r="GT78">
        <v>0</v>
      </c>
      <c r="HH78">
        <v>0</v>
      </c>
      <c r="IH78">
        <v>0</v>
      </c>
    </row>
    <row r="79" spans="1:264" x14ac:dyDescent="0.2">
      <c r="A79" t="str">
        <v>University of Lincoln</v>
      </c>
      <c r="B79" t="str">
        <v>Emma May</v>
      </c>
      <c r="C79" s="17">
        <v>90.994623655913969</v>
      </c>
      <c r="E79" t="str">
        <v>University of Lincoln</v>
      </c>
      <c r="F79" t="str">
        <v>Emma May</v>
      </c>
      <c r="G79">
        <v>83.646112600536171</v>
      </c>
      <c r="J79" s="1" t="s">
        <v>52</v>
      </c>
      <c r="Q79">
        <v>95.679567956795694</v>
      </c>
      <c r="T79">
        <v>0</v>
      </c>
      <c r="BD79">
        <v>0</v>
      </c>
      <c r="CP79">
        <v>94.473684210526315</v>
      </c>
      <c r="CS79">
        <v>85.131578947368425</v>
      </c>
      <c r="DA79">
        <v>58.549222797927456</v>
      </c>
      <c r="DD79">
        <v>0</v>
      </c>
      <c r="DR79">
        <v>76.147614761476149</v>
      </c>
      <c r="EZ79">
        <v>89.544235924932963</v>
      </c>
      <c r="FA79">
        <v>95.308310991957086</v>
      </c>
      <c r="GG79">
        <v>83.561643835616437</v>
      </c>
      <c r="GH79">
        <v>90.535491905354931</v>
      </c>
      <c r="GI79">
        <v>74.595267745952668</v>
      </c>
      <c r="GJ79">
        <v>89.663760896637612</v>
      </c>
      <c r="GK79">
        <v>58.530510585305109</v>
      </c>
      <c r="GL79">
        <v>90.535491905354931</v>
      </c>
      <c r="GM79">
        <v>89.414694894146947</v>
      </c>
      <c r="GN79">
        <v>84.68244084682442</v>
      </c>
      <c r="GO79">
        <v>92.90161892901618</v>
      </c>
      <c r="GU79">
        <v>0</v>
      </c>
      <c r="HI79">
        <v>0</v>
      </c>
      <c r="HM79">
        <v>94.342507645259928</v>
      </c>
      <c r="HN79">
        <v>0</v>
      </c>
      <c r="HO79">
        <v>0</v>
      </c>
      <c r="II79">
        <v>82.402234636871512</v>
      </c>
      <c r="IS79">
        <v>86.312849162011176</v>
      </c>
      <c r="IV79">
        <v>76.955307262569832</v>
      </c>
    </row>
    <row r="80" spans="1:264" x14ac:dyDescent="0.2">
      <c r="A80" t="str">
        <v>University of Lincoln</v>
      </c>
      <c r="B80" t="str">
        <v>Jenna Sorrill</v>
      </c>
      <c r="C80" s="17">
        <v>87.365591397849457</v>
      </c>
      <c r="E80" t="str">
        <v>University of Lincoln</v>
      </c>
      <c r="F80" t="str">
        <v>Jenna Sorrill</v>
      </c>
      <c r="G80">
        <v>85.790884718498646</v>
      </c>
      <c r="J80" s="1" t="s">
        <v>65</v>
      </c>
      <c r="AA80">
        <v>94.101876675603208</v>
      </c>
      <c r="AG80">
        <v>82.440846824408482</v>
      </c>
      <c r="BR80">
        <v>87.526881720430126</v>
      </c>
      <c r="CO80">
        <v>73.972602739726028</v>
      </c>
      <c r="CT80">
        <v>95.466321243523296</v>
      </c>
      <c r="ED80">
        <v>88.60589812332438</v>
      </c>
      <c r="EE80">
        <v>49.061662198391417</v>
      </c>
      <c r="HK80">
        <v>0</v>
      </c>
      <c r="IF80">
        <v>0</v>
      </c>
      <c r="IN80">
        <v>0</v>
      </c>
    </row>
    <row r="81" spans="1:261" x14ac:dyDescent="0.2">
      <c r="A81" t="str">
        <v>Leeds Beckett University</v>
      </c>
      <c r="B81" t="str">
        <v>Izzie Goddard</v>
      </c>
      <c r="C81" s="17">
        <v>89.91935483870968</v>
      </c>
      <c r="E81" t="str">
        <v>Leeds Beckett University</v>
      </c>
      <c r="F81" t="str">
        <v>Izzie Goddard</v>
      </c>
      <c r="G81">
        <v>82.573726541554947</v>
      </c>
      <c r="J81" s="1" t="s">
        <v>235</v>
      </c>
      <c r="DL81">
        <v>100</v>
      </c>
      <c r="DQ81">
        <v>100</v>
      </c>
      <c r="DT81">
        <v>95.336787564766837</v>
      </c>
      <c r="DU81">
        <v>90.414507772020741</v>
      </c>
      <c r="DV81">
        <v>58.290155440414502</v>
      </c>
      <c r="FT81">
        <v>73.848069738480703</v>
      </c>
      <c r="FU81">
        <v>56.911581569115825</v>
      </c>
      <c r="FV81">
        <v>78.953922789539234</v>
      </c>
      <c r="HU81">
        <v>81.983240223463696</v>
      </c>
      <c r="HV81">
        <v>69.55307262569832</v>
      </c>
      <c r="HW81">
        <v>72.625698324022352</v>
      </c>
    </row>
    <row r="82" spans="1:261" x14ac:dyDescent="0.2">
      <c r="A82" t="str">
        <v>University of Sheffield</v>
      </c>
      <c r="B82" t="str">
        <v>Libby Smithirst</v>
      </c>
      <c r="C82" s="17">
        <v>82.79569892473117</v>
      </c>
      <c r="E82" t="str">
        <v>University of Sheffield</v>
      </c>
      <c r="F82" t="str">
        <v>Libby Smithirst</v>
      </c>
      <c r="G82">
        <v>89.544235924932963</v>
      </c>
      <c r="J82" s="1" t="s">
        <v>248</v>
      </c>
      <c r="DO82">
        <v>0</v>
      </c>
      <c r="FX82">
        <v>87.920298879202988</v>
      </c>
      <c r="HT82">
        <v>100</v>
      </c>
      <c r="HZ82">
        <v>81.005586592178787</v>
      </c>
      <c r="IC82">
        <v>0</v>
      </c>
      <c r="ID82">
        <v>100</v>
      </c>
      <c r="IP82">
        <v>82.821229050279328</v>
      </c>
    </row>
    <row r="83" spans="1:261" x14ac:dyDescent="0.2">
      <c r="A83" t="str">
        <v>University of Manchester</v>
      </c>
      <c r="B83" t="str">
        <v>Eleane Runnalls</v>
      </c>
      <c r="C83" s="17">
        <v>87.499999999999986</v>
      </c>
      <c r="E83" t="str">
        <v>University of Manchester</v>
      </c>
      <c r="F83" t="str">
        <v>Eleane Runnalls</v>
      </c>
      <c r="G83">
        <v>80.965147453083105</v>
      </c>
      <c r="J83" s="1" t="s">
        <v>238</v>
      </c>
      <c r="EA83">
        <v>47.096774193548391</v>
      </c>
      <c r="EB83">
        <v>0</v>
      </c>
      <c r="EF83">
        <v>98.793565683646108</v>
      </c>
      <c r="EG83">
        <v>89.276139410187653</v>
      </c>
      <c r="FE83">
        <v>63.026315789473685</v>
      </c>
    </row>
    <row r="84" spans="1:261" x14ac:dyDescent="0.2">
      <c r="A84" t="str">
        <v>University of Manchester</v>
      </c>
      <c r="B84" t="str">
        <v>Daniella Brown</v>
      </c>
      <c r="C84" s="17">
        <v>54.838709677419352</v>
      </c>
      <c r="E84" t="str">
        <v>University of Manchester</v>
      </c>
      <c r="F84" t="str">
        <v>Daniella Brown</v>
      </c>
      <c r="G84">
        <v>93.163538873994625</v>
      </c>
      <c r="J84" s="1" t="s">
        <v>247</v>
      </c>
      <c r="EH84">
        <v>97.721179624664884</v>
      </c>
      <c r="EI84">
        <v>90.080428954423581</v>
      </c>
      <c r="GS84">
        <v>71.481942714819439</v>
      </c>
      <c r="HQ84">
        <v>87.155963302752284</v>
      </c>
      <c r="HR84">
        <v>88.685015290519871</v>
      </c>
      <c r="HS84">
        <v>95.412844036697251</v>
      </c>
      <c r="IL84">
        <v>91.34078212290504</v>
      </c>
      <c r="IM84">
        <v>93.296089385474872</v>
      </c>
      <c r="IR84">
        <v>99.720670391061475</v>
      </c>
      <c r="IW84">
        <v>81.424581005586589</v>
      </c>
      <c r="IX84">
        <v>80.86592178770951</v>
      </c>
      <c r="JA84">
        <v>94.553072625698334</v>
      </c>
    </row>
    <row r="85" spans="1:261" x14ac:dyDescent="0.2">
      <c r="A85" t="str">
        <v>University of York</v>
      </c>
      <c r="B85" t="str">
        <v>Robyn Garner</v>
      </c>
      <c r="C85" s="17">
        <v>84.005376344086017</v>
      </c>
      <c r="E85" t="str">
        <v>University of York</v>
      </c>
      <c r="F85" t="str">
        <v>Robyn Garner</v>
      </c>
      <c r="G85">
        <v>49.061662198391417</v>
      </c>
    </row>
    <row r="86" spans="1:261" x14ac:dyDescent="0.2">
      <c r="A86" t="str">
        <v>University of Manchester</v>
      </c>
      <c r="B86" t="str">
        <v>Rebecca Haskins</v>
      </c>
      <c r="C86" s="17">
        <v>84.677419354838705</v>
      </c>
      <c r="E86" t="str">
        <v>University of Manchester</v>
      </c>
      <c r="F86" t="str">
        <v>Rebecca Haskins</v>
      </c>
      <c r="G86">
        <v>31.099195710455756</v>
      </c>
    </row>
    <row r="87" spans="1:261" x14ac:dyDescent="0.2">
      <c r="A87" t="str">
        <v>Loughborough University</v>
      </c>
      <c r="B87" t="str">
        <v>Libby Gascoyne</v>
      </c>
      <c r="C87" s="17">
        <v>100</v>
      </c>
      <c r="E87" t="str">
        <v>Loughborough University</v>
      </c>
      <c r="F87" t="str">
        <v>Libby Gascoyne</v>
      </c>
      <c r="G87">
        <v>0</v>
      </c>
    </row>
    <row r="88" spans="1:261" x14ac:dyDescent="0.2">
      <c r="A88" t="str">
        <v>Nottingham Trent University</v>
      </c>
      <c r="B88" t="str">
        <v>Maddy McCulley</v>
      </c>
      <c r="C88">
        <v>0</v>
      </c>
      <c r="E88" t="str">
        <v>Nottingham Trent University</v>
      </c>
      <c r="F88" t="str">
        <v>Maddy McCulley</v>
      </c>
      <c r="G88">
        <v>98.793565683646108</v>
      </c>
    </row>
    <row r="89" spans="1:261" x14ac:dyDescent="0.2">
      <c r="A89" t="str">
        <v>Keele University</v>
      </c>
      <c r="B89" t="str">
        <v>Mia Wilson</v>
      </c>
      <c r="C89">
        <v>0</v>
      </c>
      <c r="E89" t="str">
        <v>Keele University</v>
      </c>
      <c r="F89" t="str">
        <v>Mia Wilson</v>
      </c>
      <c r="G89">
        <v>97.721179624664884</v>
      </c>
    </row>
    <row r="90" spans="1:261" x14ac:dyDescent="0.2">
      <c r="A90" t="str">
        <v>University of Leeds</v>
      </c>
      <c r="B90" t="str">
        <v>Lydia Starling</v>
      </c>
      <c r="C90">
        <v>0</v>
      </c>
      <c r="E90" t="str">
        <v>University of Leeds</v>
      </c>
      <c r="F90" t="str">
        <v>Lydia Starling</v>
      </c>
      <c r="G90">
        <v>97.050938337801611</v>
      </c>
    </row>
    <row r="91" spans="1:261" x14ac:dyDescent="0.2">
      <c r="A91" t="str">
        <v>Loughborough University</v>
      </c>
      <c r="B91" t="str">
        <v>Mia Ammanath</v>
      </c>
      <c r="C91">
        <v>0</v>
      </c>
      <c r="E91" t="str">
        <v>Loughborough University</v>
      </c>
      <c r="F91" t="str">
        <v>Mia Ammanath</v>
      </c>
      <c r="G91">
        <v>96.782841823056302</v>
      </c>
    </row>
    <row r="92" spans="1:261" x14ac:dyDescent="0.2">
      <c r="A92" t="str">
        <v>University of Liverpool</v>
      </c>
      <c r="B92" t="str">
        <v>Ruby Taylor</v>
      </c>
      <c r="C92">
        <v>0</v>
      </c>
      <c r="E92" t="str">
        <v>University of Liverpool</v>
      </c>
      <c r="F92" t="str">
        <v>Ruby Taylor</v>
      </c>
      <c r="G92">
        <v>95.978552278820359</v>
      </c>
    </row>
    <row r="93" spans="1:261" x14ac:dyDescent="0.2">
      <c r="A93" t="str">
        <v>University of Sheffield</v>
      </c>
      <c r="B93" t="str">
        <v>Ewa Krzyzanowska</v>
      </c>
      <c r="C93">
        <v>0</v>
      </c>
      <c r="E93" t="str">
        <v>University of Sheffield</v>
      </c>
      <c r="F93" t="str">
        <v>Ewa Krzyzanowska</v>
      </c>
      <c r="G93">
        <v>95.308310991957086</v>
      </c>
    </row>
    <row r="94" spans="1:261" x14ac:dyDescent="0.2">
      <c r="A94" t="str">
        <v>Loughborough University</v>
      </c>
      <c r="B94" t="str">
        <v>Niyah Bethune</v>
      </c>
      <c r="C94">
        <v>0</v>
      </c>
      <c r="E94" t="str">
        <v>Loughborough University</v>
      </c>
      <c r="F94" t="str">
        <v>Niyah Bethune</v>
      </c>
      <c r="G94">
        <v>94.772117962466481</v>
      </c>
    </row>
    <row r="95" spans="1:261" x14ac:dyDescent="0.2">
      <c r="A95" t="str">
        <v>Leeds Beckett University</v>
      </c>
      <c r="B95" t="str">
        <v>India Shally</v>
      </c>
      <c r="C95">
        <v>0</v>
      </c>
      <c r="E95" t="str">
        <v>Leeds Beckett University</v>
      </c>
      <c r="F95" t="str">
        <v>India Shally</v>
      </c>
      <c r="G95">
        <v>94.772117962466481</v>
      </c>
    </row>
    <row r="96" spans="1:261" x14ac:dyDescent="0.2">
      <c r="A96" t="str">
        <v>University of Manchester</v>
      </c>
      <c r="B96" t="str">
        <v>Aneesha Nair</v>
      </c>
      <c r="C96">
        <v>94.758064516129025</v>
      </c>
      <c r="E96" t="str">
        <v>University of Manchester</v>
      </c>
      <c r="F96" t="str">
        <v>Aneesha Nair</v>
      </c>
      <c r="G96">
        <v>0</v>
      </c>
    </row>
    <row r="97" spans="1:7" x14ac:dyDescent="0.2">
      <c r="A97" t="str">
        <v>Sheffield Hallam University</v>
      </c>
      <c r="B97" t="str">
        <v>Fran Mbewe</v>
      </c>
      <c r="C97">
        <v>0</v>
      </c>
      <c r="E97" t="str">
        <v>Sheffield Hallam University</v>
      </c>
      <c r="F97" t="str">
        <v>Fran Mbewe</v>
      </c>
      <c r="G97">
        <v>92.359249329758711</v>
      </c>
    </row>
    <row r="98" spans="1:7" x14ac:dyDescent="0.2">
      <c r="A98" t="str">
        <v>University of Edinburgh</v>
      </c>
      <c r="B98" t="str">
        <v>Aisling Hurley</v>
      </c>
      <c r="C98">
        <v>91.532258064516114</v>
      </c>
      <c r="E98" t="str">
        <v>University of Edinburgh</v>
      </c>
      <c r="F98" t="str">
        <v>Aisling Hurley</v>
      </c>
      <c r="G98">
        <v>0</v>
      </c>
    </row>
    <row r="99" spans="1:7" x14ac:dyDescent="0.2">
      <c r="A99" t="str">
        <v>Sheffield Hallam University</v>
      </c>
      <c r="B99" t="str">
        <v>Celina Seelinger</v>
      </c>
      <c r="C99">
        <v>0</v>
      </c>
      <c r="E99" t="str">
        <v>Sheffield Hallam University</v>
      </c>
      <c r="F99" t="str">
        <v>Celina Seelinger</v>
      </c>
      <c r="G99">
        <v>90.482573726541546</v>
      </c>
    </row>
    <row r="100" spans="1:7" x14ac:dyDescent="0.2">
      <c r="A100" t="str">
        <v>Leeds Beckett University</v>
      </c>
      <c r="B100" t="str">
        <v>Adama Jobe</v>
      </c>
      <c r="C100">
        <v>90.322580645161281</v>
      </c>
      <c r="E100" t="str">
        <v>Leeds Beckett University</v>
      </c>
      <c r="F100" t="str">
        <v>Adama Jobe</v>
      </c>
      <c r="G100">
        <v>0</v>
      </c>
    </row>
    <row r="101" spans="1:7" x14ac:dyDescent="0.2">
      <c r="A101" t="str">
        <v>Keele University</v>
      </c>
      <c r="B101" t="str">
        <v>Eleanor Dakin</v>
      </c>
      <c r="C101">
        <v>0</v>
      </c>
      <c r="E101" t="str">
        <v>Keele University</v>
      </c>
      <c r="F101" t="str">
        <v>Eleanor Dakin</v>
      </c>
      <c r="G101">
        <v>90.080428954423581</v>
      </c>
    </row>
    <row r="102" spans="1:7" x14ac:dyDescent="0.2">
      <c r="A102" t="str">
        <v>University of Sheffield</v>
      </c>
      <c r="B102" t="str">
        <v>Sydney Kemish</v>
      </c>
      <c r="C102">
        <v>89.784946236559151</v>
      </c>
      <c r="E102" t="str">
        <v>University of Sheffield</v>
      </c>
      <c r="F102" t="str">
        <v>Sydney Kemish</v>
      </c>
      <c r="G102">
        <v>0</v>
      </c>
    </row>
    <row r="103" spans="1:7" x14ac:dyDescent="0.2">
      <c r="A103" t="str">
        <v>University of Leeds</v>
      </c>
      <c r="B103" t="str">
        <v>Emily Wall</v>
      </c>
      <c r="C103">
        <v>89.51612903225805</v>
      </c>
      <c r="E103" t="str">
        <v>University of Leeds</v>
      </c>
      <c r="F103" t="str">
        <v>Emily Wall</v>
      </c>
      <c r="G103">
        <v>0</v>
      </c>
    </row>
    <row r="104" spans="1:7" x14ac:dyDescent="0.2">
      <c r="A104" t="str">
        <v>Nottingham Trent University</v>
      </c>
      <c r="B104" t="str">
        <v>Maren Van Elsaecker</v>
      </c>
      <c r="C104">
        <v>0</v>
      </c>
      <c r="E104" t="str">
        <v>Nottingham Trent University</v>
      </c>
      <c r="F104" t="str">
        <v>Maren Van Elsaecker</v>
      </c>
      <c r="G104">
        <v>89.276139410187653</v>
      </c>
    </row>
    <row r="105" spans="1:7" x14ac:dyDescent="0.2">
      <c r="A105" t="str">
        <v>University of York</v>
      </c>
      <c r="B105" t="str">
        <v>Ellie Mahoney</v>
      </c>
      <c r="C105">
        <v>0</v>
      </c>
      <c r="E105" t="str">
        <v>University of York</v>
      </c>
      <c r="F105" t="str">
        <v>Ellie Mahoney</v>
      </c>
      <c r="G105">
        <v>88.60589812332438</v>
      </c>
    </row>
    <row r="106" spans="1:7" x14ac:dyDescent="0.2">
      <c r="A106" t="str">
        <v>Loughborough University</v>
      </c>
      <c r="B106" t="str">
        <v>Eloise Murphy</v>
      </c>
      <c r="C106">
        <v>0</v>
      </c>
      <c r="E106" t="str">
        <v>Loughborough University</v>
      </c>
      <c r="F106" t="str">
        <v>Eloise Murphy</v>
      </c>
      <c r="G106">
        <v>88.60589812332438</v>
      </c>
    </row>
    <row r="107" spans="1:7" x14ac:dyDescent="0.2">
      <c r="A107" t="str">
        <v>University of Leeds</v>
      </c>
      <c r="B107" t="str">
        <v>Isobel Lee</v>
      </c>
      <c r="C107">
        <v>0</v>
      </c>
      <c r="E107" t="str">
        <v>University of Leeds</v>
      </c>
      <c r="F107" t="str">
        <v>Isobel Lee</v>
      </c>
      <c r="G107">
        <v>86.997319034852552</v>
      </c>
    </row>
    <row r="108" spans="1:7" x14ac:dyDescent="0.2">
      <c r="A108" t="str">
        <v>University of Sheffield</v>
      </c>
      <c r="B108" t="str">
        <v>Amelie Matthews</v>
      </c>
      <c r="C108">
        <v>86.55913978494624</v>
      </c>
      <c r="E108" t="str">
        <v>University of Sheffield</v>
      </c>
      <c r="F108" t="str">
        <v>Amelie Matthews</v>
      </c>
      <c r="G108">
        <v>0</v>
      </c>
    </row>
    <row r="109" spans="1:7" x14ac:dyDescent="0.2">
      <c r="A109" t="str">
        <v>University of Liverpool</v>
      </c>
      <c r="B109" t="str">
        <v>Lily Norbury</v>
      </c>
      <c r="C109">
        <v>0</v>
      </c>
      <c r="E109" t="str">
        <v>University of Liverpool</v>
      </c>
      <c r="F109" t="str">
        <v>Lily Norbury</v>
      </c>
      <c r="G109">
        <v>86.19302949061661</v>
      </c>
    </row>
    <row r="110" spans="1:7" x14ac:dyDescent="0.2">
      <c r="A110" t="str">
        <v>University of Liverpool</v>
      </c>
      <c r="B110" t="str">
        <v>Wing Sum Yip</v>
      </c>
      <c r="C110">
        <v>0</v>
      </c>
      <c r="E110" t="str">
        <v>University of Liverpool</v>
      </c>
      <c r="F110" t="str">
        <v>Wing Sum Yip</v>
      </c>
      <c r="G110">
        <v>85.254691689008027</v>
      </c>
    </row>
    <row r="111" spans="1:7" x14ac:dyDescent="0.2">
      <c r="A111" t="str">
        <v>University of Liverpool</v>
      </c>
      <c r="B111" t="str">
        <v>Ruby Holland</v>
      </c>
      <c r="C111">
        <v>0</v>
      </c>
      <c r="E111" t="str">
        <v>University of Liverpool</v>
      </c>
      <c r="F111" t="str">
        <v>Ruby Holland</v>
      </c>
      <c r="G111">
        <v>84.718498659517422</v>
      </c>
    </row>
    <row r="112" spans="1:7" x14ac:dyDescent="0.2">
      <c r="A112" t="str">
        <v>Leeds Beckett University</v>
      </c>
      <c r="B112" t="str">
        <v>Katie Hall</v>
      </c>
      <c r="C112">
        <v>80.376344086021504</v>
      </c>
      <c r="E112" t="str">
        <v>Leeds Beckett University</v>
      </c>
      <c r="F112" t="str">
        <v>Katie Hall</v>
      </c>
      <c r="G112">
        <v>0</v>
      </c>
    </row>
    <row r="113" spans="1:7" x14ac:dyDescent="0.2">
      <c r="A113" t="str">
        <v>Leeds Beckett University</v>
      </c>
      <c r="B113" t="str">
        <v>Evie Willett</v>
      </c>
      <c r="C113">
        <v>0</v>
      </c>
      <c r="E113" t="str">
        <v>Leeds Beckett University</v>
      </c>
      <c r="F113" t="str">
        <v>Evie Willett</v>
      </c>
      <c r="G113">
        <v>73.190348525469147</v>
      </c>
    </row>
    <row r="114" spans="1:7" x14ac:dyDescent="0.2">
      <c r="A114" t="str">
        <v>Loughborough University</v>
      </c>
      <c r="B114" t="str">
        <v>Emilly Spicer-Gregory</v>
      </c>
      <c r="C114">
        <v>0</v>
      </c>
      <c r="E114" t="str">
        <v>Loughborough University</v>
      </c>
      <c r="F114" t="str">
        <v>Emilly Spicer-Gregory</v>
      </c>
      <c r="G114">
        <v>63.136729222520103</v>
      </c>
    </row>
    <row r="115" spans="1:7" x14ac:dyDescent="0.2">
      <c r="A115" t="str">
        <v>Loughborough University</v>
      </c>
      <c r="B115" t="str">
        <v>Annabelle Bridge</v>
      </c>
      <c r="C115">
        <v>0</v>
      </c>
      <c r="E115" t="str">
        <v>Loughborough University</v>
      </c>
      <c r="F115" t="str">
        <v>Annabelle Bridge</v>
      </c>
      <c r="G115">
        <v>62.198391420911513</v>
      </c>
    </row>
    <row r="116" spans="1:7" x14ac:dyDescent="0.2">
      <c r="A116" t="str">
        <v>University of Leeds</v>
      </c>
      <c r="B116" t="str">
        <v>Edith Lindo</v>
      </c>
      <c r="C116">
        <v>0</v>
      </c>
      <c r="E116" t="str">
        <v>University of Leeds</v>
      </c>
      <c r="F116" t="str">
        <v>Edith Lindo</v>
      </c>
      <c r="G116">
        <v>58.847184986595181</v>
      </c>
    </row>
    <row r="117" spans="1:7" x14ac:dyDescent="0.2">
      <c r="A117" t="str">
        <v>University of Leeds</v>
      </c>
      <c r="B117" t="str">
        <v>Ellie Steeple</v>
      </c>
      <c r="C117">
        <v>57.795698924731177</v>
      </c>
      <c r="E117" t="str">
        <v>University of Leeds</v>
      </c>
      <c r="F117" t="str">
        <v>Ellie Steeple</v>
      </c>
      <c r="G117">
        <v>0</v>
      </c>
    </row>
    <row r="118" spans="1:7" x14ac:dyDescent="0.2">
      <c r="A118" t="str">
        <v>University of Lincoln</v>
      </c>
      <c r="B118" t="str">
        <v>Jessica Meredith</v>
      </c>
      <c r="C118">
        <v>0</v>
      </c>
      <c r="E118" t="str">
        <v>University of Lincoln</v>
      </c>
      <c r="F118" t="str">
        <v>Jessica Meredith</v>
      </c>
      <c r="G118">
        <v>53.351206434316346</v>
      </c>
    </row>
    <row r="119" spans="1:7" x14ac:dyDescent="0.2">
      <c r="A119" t="str">
        <v>Leeds Beckett University</v>
      </c>
      <c r="B119" t="str">
        <v>Sophie Marson</v>
      </c>
      <c r="C119">
        <v>0</v>
      </c>
      <c r="E119" t="str">
        <v>Leeds Beckett University</v>
      </c>
      <c r="F119" t="str">
        <v>Sophie Marson</v>
      </c>
      <c r="G119">
        <v>48.525469168900791</v>
      </c>
    </row>
    <row r="120" spans="1:7" x14ac:dyDescent="0.2">
      <c r="A120" t="str">
        <v>Loughborough University</v>
      </c>
      <c r="B120" t="str">
        <v>Lidia Grunwald</v>
      </c>
      <c r="C120">
        <v>0</v>
      </c>
      <c r="E120" t="str">
        <v>Loughborough University</v>
      </c>
      <c r="F120" t="str">
        <v>Lidia Grunwald</v>
      </c>
      <c r="G120">
        <v>47.98927613941018</v>
      </c>
    </row>
    <row r="121" spans="1:7" x14ac:dyDescent="0.2">
      <c r="A121" t="str">
        <v>Durham University</v>
      </c>
      <c r="B121" t="str">
        <v>Hannah Boot</v>
      </c>
      <c r="C121">
        <v>35.215053763440856</v>
      </c>
      <c r="E121" t="str">
        <v>Durham University</v>
      </c>
      <c r="F121" t="str">
        <v>Hannah Boot</v>
      </c>
      <c r="G121">
        <v>0</v>
      </c>
    </row>
    <row r="122" spans="1:7" x14ac:dyDescent="0.2">
      <c r="A122" t="str">
        <v>Durham University</v>
      </c>
      <c r="B122" t="str">
        <v>Izzy Gwyther</v>
      </c>
      <c r="C122">
        <v>30.241935483870964</v>
      </c>
      <c r="E122" t="str">
        <v>Durham University</v>
      </c>
      <c r="F122" t="str">
        <v>Izzy Gwyther</v>
      </c>
      <c r="G122">
        <v>0</v>
      </c>
    </row>
    <row r="123" spans="1:7" x14ac:dyDescent="0.2">
      <c r="A123" t="str">
        <v>University of Lincoln</v>
      </c>
      <c r="B123" t="str">
        <v>Aimee Ross</v>
      </c>
      <c r="C123">
        <v>0</v>
      </c>
      <c r="E123" t="str">
        <v>University of Lincoln</v>
      </c>
      <c r="F123" t="str">
        <v>Aimee Ross</v>
      </c>
      <c r="G123">
        <v>0</v>
      </c>
    </row>
    <row r="124" spans="1:7" x14ac:dyDescent="0.2">
      <c r="A124" t="str">
        <v>University of Manchester</v>
      </c>
      <c r="B124" t="str">
        <v>Naia Ashwell</v>
      </c>
      <c r="C124">
        <v>0</v>
      </c>
      <c r="E124" t="str">
        <v>University of Manchester</v>
      </c>
      <c r="F124" t="str">
        <v>Naia Ashwell</v>
      </c>
      <c r="G124">
        <v>0</v>
      </c>
    </row>
    <row r="125" spans="1:7" x14ac:dyDescent="0.2">
      <c r="A125" t="str">
        <v>Leeds Beckett University</v>
      </c>
      <c r="B125" t="str">
        <v>India Grace</v>
      </c>
      <c r="C125">
        <v>0</v>
      </c>
      <c r="E125" t="str">
        <v>Leeds Beckett University</v>
      </c>
      <c r="F125" t="str">
        <v>India Grace</v>
      </c>
      <c r="G125">
        <v>0</v>
      </c>
    </row>
    <row r="126" spans="1:7" x14ac:dyDescent="0.2">
      <c r="A126" t="str">
        <v>Loughborough University</v>
      </c>
      <c r="B126" t="str">
        <v>Ben Howell</v>
      </c>
      <c r="C126">
        <v>0</v>
      </c>
      <c r="E126" t="str">
        <v>Loughborough University</v>
      </c>
      <c r="F126" t="str">
        <v>Ben Howell</v>
      </c>
      <c r="G126">
        <v>93.026315789473685</v>
      </c>
    </row>
    <row r="127" spans="1:7" x14ac:dyDescent="0.2">
      <c r="A127" t="str">
        <v>Loughborough University</v>
      </c>
      <c r="B127" t="str">
        <v>Jonah Twelftree</v>
      </c>
      <c r="C127">
        <v>63.649025069637879</v>
      </c>
      <c r="E127" t="str">
        <v>Loughborough University</v>
      </c>
      <c r="F127" t="str">
        <v>Jonah Twelftree</v>
      </c>
      <c r="G127">
        <v>0</v>
      </c>
    </row>
    <row r="128" spans="1:7" x14ac:dyDescent="0.2">
      <c r="A128" t="str">
        <v>University of Liverpool</v>
      </c>
      <c r="B128" t="str">
        <v>Joshua Jaquiery</v>
      </c>
      <c r="C128">
        <v>0</v>
      </c>
      <c r="E128" t="str">
        <v>University of Liverpool</v>
      </c>
      <c r="F128" t="str">
        <v>Joshua Jaquiery</v>
      </c>
      <c r="G128">
        <v>0</v>
      </c>
    </row>
    <row r="129" spans="1:7" x14ac:dyDescent="0.2">
      <c r="A129" t="str">
        <v>University of Leeds</v>
      </c>
      <c r="B129" t="str">
        <v>Matthew Dawson</v>
      </c>
      <c r="C129">
        <v>0</v>
      </c>
      <c r="E129" t="str">
        <v>University of Leeds</v>
      </c>
      <c r="F129" t="str">
        <v>Matthew Dawson</v>
      </c>
      <c r="G129">
        <v>0</v>
      </c>
    </row>
    <row r="130" spans="1:7" x14ac:dyDescent="0.2">
      <c r="A130" t="str">
        <v>University of Leeds</v>
      </c>
      <c r="B130" t="str">
        <v>Aidan Obambi</v>
      </c>
      <c r="C130">
        <v>85.236768802228397</v>
      </c>
      <c r="E130" t="str">
        <v>University of Leeds</v>
      </c>
      <c r="F130" t="str">
        <v>Aidan Obambi</v>
      </c>
      <c r="G130">
        <v>57.894736842105267</v>
      </c>
    </row>
    <row r="131" spans="1:7" x14ac:dyDescent="0.2">
      <c r="A131" t="str">
        <v>University of Leeds</v>
      </c>
      <c r="B131" t="str">
        <v>Dominic Forshaw</v>
      </c>
      <c r="C131">
        <v>95.264623955431745</v>
      </c>
      <c r="E131" t="str">
        <v>University of Leeds</v>
      </c>
      <c r="F131" t="str">
        <v>Dominic Forshaw</v>
      </c>
      <c r="G131">
        <v>89.473684210526315</v>
      </c>
    </row>
    <row r="132" spans="1:7" x14ac:dyDescent="0.2">
      <c r="A132" t="str">
        <v>Sheffield Hallam University</v>
      </c>
      <c r="B132" t="str">
        <v>Quintin Kemish</v>
      </c>
      <c r="C132">
        <v>92.618384401114199</v>
      </c>
      <c r="E132" t="str">
        <v>Sheffield Hallam University</v>
      </c>
      <c r="F132" t="str">
        <v>Quintin Kemish</v>
      </c>
      <c r="G132">
        <v>89.736842105263165</v>
      </c>
    </row>
    <row r="133" spans="1:7" x14ac:dyDescent="0.2">
      <c r="A133" t="str">
        <v>Sheffield Hallam University</v>
      </c>
      <c r="B133" t="str">
        <v>Jamie Berry</v>
      </c>
      <c r="C133">
        <v>96.796657381615574</v>
      </c>
      <c r="E133" t="str">
        <v>Sheffield Hallam University</v>
      </c>
      <c r="F133" t="str">
        <v>Jamie Berry</v>
      </c>
      <c r="G133">
        <v>100</v>
      </c>
    </row>
    <row r="134" spans="1:7" x14ac:dyDescent="0.2">
      <c r="A134" t="str">
        <v>Nottingham Trent University</v>
      </c>
      <c r="B134" t="str">
        <v>TJ Mutemererwa</v>
      </c>
      <c r="C134">
        <v>0</v>
      </c>
      <c r="E134" t="str">
        <v>Nottingham Trent University</v>
      </c>
      <c r="F134" t="str">
        <v>TJ Mutemererwa</v>
      </c>
      <c r="G134">
        <v>63.026315789473685</v>
      </c>
    </row>
    <row r="135" spans="1:7" x14ac:dyDescent="0.2">
      <c r="A135" t="str">
        <v>University of Liverpool</v>
      </c>
      <c r="B135" t="str">
        <v>Ibraheem Reza</v>
      </c>
      <c r="C135">
        <v>13.370473537604454</v>
      </c>
      <c r="E135" t="str">
        <v>University of Liverpool</v>
      </c>
      <c r="F135" t="str">
        <v>Ibraheem Reza</v>
      </c>
      <c r="G135">
        <v>85</v>
      </c>
    </row>
    <row r="136" spans="1:7" x14ac:dyDescent="0.2">
      <c r="A136" t="str">
        <v>University of Liverpool</v>
      </c>
      <c r="B136" t="str">
        <v>Danylo Sheiko</v>
      </c>
      <c r="C136">
        <v>88.440111420612794</v>
      </c>
      <c r="E136" t="str">
        <v>University of Liverpool</v>
      </c>
      <c r="F136" t="str">
        <v>Danylo Sheiko</v>
      </c>
      <c r="G136">
        <v>0</v>
      </c>
    </row>
    <row r="137" spans="1:7" x14ac:dyDescent="0.2">
      <c r="A137" t="str">
        <v>University of Sheffield</v>
      </c>
      <c r="B137" t="str">
        <v>Oli Tickner-Bellau</v>
      </c>
      <c r="C137">
        <v>85.097493036211688</v>
      </c>
      <c r="E137" t="str">
        <v>University of Sheffield</v>
      </c>
      <c r="F137" t="str">
        <v>Oli Tickner-Bellau</v>
      </c>
      <c r="G137">
        <v>85.131578947368425</v>
      </c>
    </row>
    <row r="138" spans="1:7" x14ac:dyDescent="0.2">
      <c r="A138" t="str">
        <v>University of Sheffield</v>
      </c>
      <c r="B138" t="str">
        <v>Nathan McClelland</v>
      </c>
      <c r="C138">
        <v>85.51532033426183</v>
      </c>
      <c r="E138" t="str">
        <v>University of Sheffield</v>
      </c>
      <c r="F138" t="str">
        <v>Nathan McClelland</v>
      </c>
      <c r="G138">
        <v>94.473684210526315</v>
      </c>
    </row>
    <row r="139" spans="1:7" x14ac:dyDescent="0.2">
      <c r="A139" t="str">
        <v>University of Lincoln</v>
      </c>
      <c r="B139" t="str">
        <v>Andrew Anderson</v>
      </c>
      <c r="C139">
        <v>66.295264623955418</v>
      </c>
      <c r="E139" t="str">
        <v>University of Lincoln</v>
      </c>
      <c r="F139" t="str">
        <v>Andrew Anderson</v>
      </c>
      <c r="G139">
        <v>0</v>
      </c>
    </row>
    <row r="140" spans="1:7" x14ac:dyDescent="0.2">
      <c r="A140" t="str">
        <v>Loughborough University</v>
      </c>
      <c r="B140" t="str">
        <v>Rayhan Amer Imran</v>
      </c>
      <c r="C140">
        <v>94.986072423398312</v>
      </c>
      <c r="E140" t="str">
        <v>Loughborough University</v>
      </c>
      <c r="F140" t="str">
        <v>Rayhan Amer Imran</v>
      </c>
      <c r="G140">
        <v>0</v>
      </c>
    </row>
    <row r="141" spans="1:7" x14ac:dyDescent="0.2">
      <c r="A141" t="str">
        <v>Loughborough University</v>
      </c>
      <c r="B141" t="str">
        <v>Sean Williamson</v>
      </c>
      <c r="C141">
        <v>94.986072423398298</v>
      </c>
      <c r="E141" t="str">
        <v>Loughborough University</v>
      </c>
      <c r="F141" t="str">
        <v>Sean Williamson</v>
      </c>
      <c r="G141">
        <v>0</v>
      </c>
    </row>
    <row r="142" spans="1:7" x14ac:dyDescent="0.2">
      <c r="A142" t="str">
        <v>University of Edinburgh</v>
      </c>
      <c r="B142" t="str">
        <v>Matthew MacIntosh</v>
      </c>
      <c r="C142">
        <v>93.593314763231177</v>
      </c>
      <c r="E142" t="str">
        <v>University of Edinburgh</v>
      </c>
      <c r="F142" t="str">
        <v>Matthew MacIntosh</v>
      </c>
      <c r="G142">
        <v>0</v>
      </c>
    </row>
    <row r="143" spans="1:7" x14ac:dyDescent="0.2">
      <c r="A143" t="str">
        <v>University of Leeds</v>
      </c>
      <c r="B143" t="str">
        <v>Alfie Barker</v>
      </c>
      <c r="C143">
        <v>0</v>
      </c>
      <c r="E143" t="str">
        <v>University of Leeds</v>
      </c>
      <c r="F143" t="str">
        <v>Alfie Barker</v>
      </c>
      <c r="G143">
        <v>0</v>
      </c>
    </row>
    <row r="144" spans="1:7" x14ac:dyDescent="0.2">
      <c r="A144" t="str">
        <v>University of Lincoln</v>
      </c>
      <c r="B144" t="str">
        <v>Cody Aspden</v>
      </c>
      <c r="C144">
        <v>0</v>
      </c>
      <c r="E144" t="str">
        <v>University of Lincoln</v>
      </c>
      <c r="F144" t="str">
        <v>Cody Aspden</v>
      </c>
      <c r="G144">
        <v>0</v>
      </c>
    </row>
    <row r="145" spans="1:7" x14ac:dyDescent="0.2">
      <c r="A145" t="str">
        <v>University of Sheffield</v>
      </c>
      <c r="B145" t="str">
        <v>Gabriel Szatan</v>
      </c>
      <c r="C145">
        <v>100</v>
      </c>
      <c r="E145" t="str">
        <v>University of Sheffield</v>
      </c>
      <c r="F145" t="str">
        <v>Gabriel Szatan</v>
      </c>
      <c r="G145">
        <v>0</v>
      </c>
    </row>
    <row r="146" spans="1:7" x14ac:dyDescent="0.2">
      <c r="A146" t="str">
        <v>University of Manchester</v>
      </c>
      <c r="B146" t="str">
        <v>Margareta von Samson Himmelstierna</v>
      </c>
      <c r="C146">
        <v>98.372966207759688</v>
      </c>
      <c r="E146" t="str">
        <v>University of Manchester</v>
      </c>
      <c r="F146" t="str">
        <v>Margareta von Samson Himmelstierna</v>
      </c>
      <c r="G146">
        <v>98.754669987546691</v>
      </c>
    </row>
    <row r="147" spans="1:7" x14ac:dyDescent="0.2">
      <c r="A147" t="str">
        <v>University of Liverpool</v>
      </c>
      <c r="B147" t="str">
        <v>Cerys Evans</v>
      </c>
      <c r="C147">
        <v>95.61952440550688</v>
      </c>
      <c r="E147" t="str">
        <v>University of Liverpool</v>
      </c>
      <c r="F147" t="str">
        <v>Cerys Evans</v>
      </c>
      <c r="G147">
        <v>99.875466998754675</v>
      </c>
    </row>
    <row r="148" spans="1:7" x14ac:dyDescent="0.2">
      <c r="A148" t="str">
        <v>University of Liverpool</v>
      </c>
      <c r="B148" t="str">
        <v>Tamara Stone</v>
      </c>
      <c r="C148">
        <v>94.493116395494354</v>
      </c>
      <c r="E148" t="str">
        <v>University of Liverpool</v>
      </c>
      <c r="F148" t="str">
        <v>Tamara Stone</v>
      </c>
      <c r="G148">
        <v>100</v>
      </c>
    </row>
    <row r="149" spans="1:7" x14ac:dyDescent="0.2">
      <c r="A149" t="str">
        <v>Loughborough University</v>
      </c>
      <c r="B149" t="str">
        <v>Alex Mulvey</v>
      </c>
      <c r="C149">
        <v>92.615769712140178</v>
      </c>
      <c r="E149" t="str">
        <v>Loughborough University</v>
      </c>
      <c r="F149" t="str">
        <v>Alex Mulvey</v>
      </c>
      <c r="G149">
        <v>94.271481942714829</v>
      </c>
    </row>
    <row r="150" spans="1:7" x14ac:dyDescent="0.2">
      <c r="A150" t="str">
        <v>Loughborough University</v>
      </c>
      <c r="B150" t="str">
        <v>Emily Nuttall</v>
      </c>
      <c r="C150">
        <v>82.728410513141412</v>
      </c>
      <c r="E150" t="str">
        <v>Loughborough University</v>
      </c>
      <c r="F150" t="str">
        <v>Emily Nuttall</v>
      </c>
      <c r="G150">
        <v>94.271481942714829</v>
      </c>
    </row>
    <row r="151" spans="1:7" x14ac:dyDescent="0.2">
      <c r="A151" t="str">
        <v>University of Sheffield</v>
      </c>
      <c r="B151" t="str">
        <v>Hannah Jones</v>
      </c>
      <c r="C151">
        <v>75.844806007509362</v>
      </c>
      <c r="E151" t="str">
        <v>University of Sheffield</v>
      </c>
      <c r="F151" t="str">
        <v>Hannah Jones</v>
      </c>
      <c r="G151">
        <v>90.535491905354931</v>
      </c>
    </row>
    <row r="152" spans="1:7" x14ac:dyDescent="0.2">
      <c r="A152" t="str">
        <v>University of Sheffield</v>
      </c>
      <c r="B152" t="str">
        <v>Catherine Gibson</v>
      </c>
      <c r="C152">
        <v>75.96996245306633</v>
      </c>
      <c r="E152" t="str">
        <v>University of Sheffield</v>
      </c>
      <c r="F152" t="str">
        <v>Catherine Gibson</v>
      </c>
      <c r="G152">
        <v>89.663760896637612</v>
      </c>
    </row>
    <row r="153" spans="1:7" x14ac:dyDescent="0.2">
      <c r="A153" t="str">
        <v>University of York</v>
      </c>
      <c r="B153" t="str">
        <v>Charlotte Bainbridge</v>
      </c>
      <c r="C153">
        <v>79.84981226533165</v>
      </c>
      <c r="E153" t="str">
        <v>University of York</v>
      </c>
      <c r="F153" t="str">
        <v>Charlotte Bainbridge</v>
      </c>
      <c r="G153">
        <v>82.440846824408482</v>
      </c>
    </row>
    <row r="154" spans="1:7" x14ac:dyDescent="0.2">
      <c r="A154" t="str">
        <v>University of Lincoln</v>
      </c>
      <c r="B154" t="str">
        <v>Amelie Cutler</v>
      </c>
      <c r="C154">
        <v>79.474342928660818</v>
      </c>
      <c r="E154" t="str">
        <v>University of Lincoln</v>
      </c>
      <c r="F154" t="str">
        <v>Amelie Cutler</v>
      </c>
      <c r="G154">
        <v>82.067247820672478</v>
      </c>
    </row>
    <row r="155" spans="1:7" x14ac:dyDescent="0.2">
      <c r="A155" t="str">
        <v>University of Lincoln</v>
      </c>
      <c r="B155" t="str">
        <v>Yasmine Harvey</v>
      </c>
      <c r="C155">
        <v>76.720901126408009</v>
      </c>
      <c r="E155" t="str">
        <v>University of Lincoln</v>
      </c>
      <c r="F155" t="str">
        <v>Yasmine Harvey</v>
      </c>
      <c r="G155">
        <v>79.202988792029899</v>
      </c>
    </row>
    <row r="156" spans="1:7" x14ac:dyDescent="0.2">
      <c r="A156" t="str">
        <v>University of Leeds</v>
      </c>
      <c r="B156" t="str">
        <v>Amy Buckley</v>
      </c>
      <c r="C156">
        <v>90.112640801001248</v>
      </c>
      <c r="E156" t="str">
        <v>University of Leeds</v>
      </c>
      <c r="F156" t="str">
        <v>Amy Buckley</v>
      </c>
      <c r="G156">
        <v>63.013698630136986</v>
      </c>
    </row>
    <row r="157" spans="1:7" x14ac:dyDescent="0.2">
      <c r="A157" t="str">
        <v>University of York</v>
      </c>
      <c r="B157" t="str">
        <v>Nathan Cattan</v>
      </c>
      <c r="C157">
        <v>78.598247809762185</v>
      </c>
      <c r="E157" t="str">
        <v>University of York</v>
      </c>
      <c r="F157" t="str">
        <v>Nathan Cattan</v>
      </c>
      <c r="G157">
        <v>73.972602739726028</v>
      </c>
    </row>
    <row r="158" spans="1:7" x14ac:dyDescent="0.2">
      <c r="A158" t="str">
        <v>University of Sheffield</v>
      </c>
      <c r="B158" t="str">
        <v>Rosalind Walkley</v>
      </c>
      <c r="C158">
        <v>61.827284105131412</v>
      </c>
      <c r="E158" t="str">
        <v>University of Sheffield</v>
      </c>
      <c r="F158" t="str">
        <v>Rosalind Walkley</v>
      </c>
      <c r="G158">
        <v>89.414694894146947</v>
      </c>
    </row>
    <row r="159" spans="1:7" x14ac:dyDescent="0.2">
      <c r="A159" t="str">
        <v>University of Sheffield</v>
      </c>
      <c r="B159" t="str">
        <v>Lily Parkin</v>
      </c>
      <c r="C159">
        <v>60.075093867334161</v>
      </c>
      <c r="E159" t="str">
        <v>University of Sheffield</v>
      </c>
      <c r="F159" t="str">
        <v>Lily Parkin</v>
      </c>
      <c r="G159">
        <v>90.535491905354931</v>
      </c>
    </row>
    <row r="160" spans="1:7" x14ac:dyDescent="0.2">
      <c r="A160" t="str">
        <v>Sheffield Hallam University</v>
      </c>
      <c r="B160" t="str">
        <v>Millie Barnham</v>
      </c>
      <c r="C160">
        <v>60.450563204005</v>
      </c>
      <c r="E160" t="str">
        <v>Sheffield Hallam University</v>
      </c>
      <c r="F160" t="str">
        <v>Millie Barnham</v>
      </c>
      <c r="G160">
        <v>86.924034869240359</v>
      </c>
    </row>
    <row r="161" spans="1:7" x14ac:dyDescent="0.2">
      <c r="A161" t="str">
        <v>University of Leeds</v>
      </c>
      <c r="B161" t="str">
        <v>Isla Luxton-Brookes</v>
      </c>
      <c r="C161">
        <v>63.704630788485602</v>
      </c>
      <c r="E161" t="str">
        <v>University of Leeds</v>
      </c>
      <c r="F161" t="str">
        <v>Isla Luxton-Brookes</v>
      </c>
      <c r="G161">
        <v>83.437110834371111</v>
      </c>
    </row>
    <row r="162" spans="1:7" x14ac:dyDescent="0.2">
      <c r="A162" t="str">
        <v>University of Sheffield</v>
      </c>
      <c r="B162" t="str">
        <v>Eve Bennett</v>
      </c>
      <c r="C162">
        <v>71.088861076345424</v>
      </c>
      <c r="E162" t="str">
        <v>University of Sheffield</v>
      </c>
      <c r="F162" t="str">
        <v>Eve Bennett</v>
      </c>
      <c r="G162">
        <v>74.595267745952668</v>
      </c>
    </row>
    <row r="163" spans="1:7" x14ac:dyDescent="0.2">
      <c r="A163" t="str">
        <v>University of Sheffield</v>
      </c>
      <c r="B163" t="str">
        <v>Megan Shaw</v>
      </c>
      <c r="C163">
        <v>81.602002503128915</v>
      </c>
      <c r="E163" t="str">
        <v>University of Sheffield</v>
      </c>
      <c r="F163" t="str">
        <v>Megan Shaw</v>
      </c>
      <c r="G163">
        <v>58.530510585305109</v>
      </c>
    </row>
    <row r="164" spans="1:7" x14ac:dyDescent="0.2">
      <c r="A164" t="str">
        <v>University of Sheffield</v>
      </c>
      <c r="B164" t="str">
        <v>Ester Davidson</v>
      </c>
      <c r="C164">
        <v>52.315394242803492</v>
      </c>
      <c r="E164" t="str">
        <v>University of Sheffield</v>
      </c>
      <c r="F164" t="str">
        <v>Ester Davidson</v>
      </c>
      <c r="G164">
        <v>83.561643835616437</v>
      </c>
    </row>
    <row r="165" spans="1:7" x14ac:dyDescent="0.2">
      <c r="A165" t="str">
        <v>University of Lincoln</v>
      </c>
      <c r="B165" t="str">
        <v>Yasmine Alderson</v>
      </c>
      <c r="C165">
        <v>83.729662077596998</v>
      </c>
      <c r="E165" t="str">
        <v>University of Lincoln</v>
      </c>
      <c r="F165" t="str">
        <v>Yasmine Alderson</v>
      </c>
      <c r="G165">
        <v>49.813200498132005</v>
      </c>
    </row>
    <row r="166" spans="1:7" x14ac:dyDescent="0.2">
      <c r="A166" t="str">
        <v>University of Liverpool</v>
      </c>
      <c r="B166" t="str">
        <v>Leah Clarke</v>
      </c>
      <c r="C166">
        <v>59.073842302878596</v>
      </c>
      <c r="E166" t="str">
        <v>University of Liverpool</v>
      </c>
      <c r="F166" t="str">
        <v>Leah Clarke</v>
      </c>
      <c r="G166">
        <v>59.153175591531756</v>
      </c>
    </row>
    <row r="167" spans="1:7" x14ac:dyDescent="0.2">
      <c r="A167" t="str">
        <v>University of Liverpool</v>
      </c>
      <c r="B167" t="str">
        <v>Wing Sum Yip</v>
      </c>
      <c r="C167">
        <v>100</v>
      </c>
      <c r="E167" t="str">
        <v>University of Liverpool</v>
      </c>
      <c r="F167" t="str">
        <v>Wing Sum Yip</v>
      </c>
      <c r="G167">
        <v>0</v>
      </c>
    </row>
    <row r="168" spans="1:7" x14ac:dyDescent="0.2">
      <c r="A168" t="str">
        <v>University of Edinburgh</v>
      </c>
      <c r="B168" t="str">
        <v>Lucy Willis</v>
      </c>
      <c r="C168">
        <v>99.749687108886107</v>
      </c>
      <c r="E168" t="str">
        <v>University of Edinburgh</v>
      </c>
      <c r="F168" t="str">
        <v>Lucy Willis</v>
      </c>
      <c r="G168">
        <v>0</v>
      </c>
    </row>
    <row r="169" spans="1:7" x14ac:dyDescent="0.2">
      <c r="A169" t="str">
        <v>Sheffield Hallam University</v>
      </c>
      <c r="B169" t="str">
        <v>Bethany Falconer</v>
      </c>
      <c r="C169">
        <v>98.998748435544414</v>
      </c>
      <c r="E169" t="str">
        <v>Sheffield Hallam University</v>
      </c>
      <c r="F169" t="str">
        <v>Bethany Falconer</v>
      </c>
      <c r="G169">
        <v>0</v>
      </c>
    </row>
    <row r="170" spans="1:7" x14ac:dyDescent="0.2">
      <c r="A170" t="str">
        <v>Loughborough University</v>
      </c>
      <c r="B170" t="str">
        <v>Joanna Snelling</v>
      </c>
      <c r="C170">
        <v>0</v>
      </c>
      <c r="E170" t="str">
        <v>Loughborough University</v>
      </c>
      <c r="F170" t="str">
        <v>Joanna Snelling</v>
      </c>
      <c r="G170">
        <v>98.879202988792031</v>
      </c>
    </row>
    <row r="171" spans="1:7" x14ac:dyDescent="0.2">
      <c r="A171" t="str">
        <v>Loughborough University</v>
      </c>
      <c r="B171" t="str">
        <v>Louise Moore</v>
      </c>
      <c r="C171">
        <v>0</v>
      </c>
      <c r="E171" t="str">
        <v>Loughborough University</v>
      </c>
      <c r="F171" t="str">
        <v>Louise Moore</v>
      </c>
      <c r="G171">
        <v>97.882938978829387</v>
      </c>
    </row>
    <row r="172" spans="1:7" x14ac:dyDescent="0.2">
      <c r="A172" t="str">
        <v>University of Leeds</v>
      </c>
      <c r="B172" t="str">
        <v>Jessica Wilde</v>
      </c>
      <c r="C172">
        <v>67.08385481852315</v>
      </c>
      <c r="E172" t="str">
        <v>University of Leeds</v>
      </c>
      <c r="F172" t="str">
        <v>Jessica Wilde</v>
      </c>
      <c r="G172">
        <v>30.136986301369863</v>
      </c>
    </row>
    <row r="173" spans="1:7" x14ac:dyDescent="0.2">
      <c r="A173" t="str">
        <v>Sheffield Hallam University</v>
      </c>
      <c r="B173" t="str">
        <v>Sinjita Vaslie</v>
      </c>
      <c r="C173">
        <v>0</v>
      </c>
      <c r="E173" t="str">
        <v>Sheffield Hallam University</v>
      </c>
      <c r="F173" t="str">
        <v>Sinjita Vaslie</v>
      </c>
      <c r="G173">
        <v>96.886674968866771</v>
      </c>
    </row>
    <row r="174" spans="1:7" x14ac:dyDescent="0.2">
      <c r="A174" t="str">
        <v>University of Leeds</v>
      </c>
      <c r="B174" t="str">
        <v>Lara Herridge-Lewer</v>
      </c>
      <c r="C174">
        <v>0</v>
      </c>
      <c r="E174" t="str">
        <v>University of Leeds</v>
      </c>
      <c r="F174" t="str">
        <v>Lara Herridge-Lewer</v>
      </c>
      <c r="G174">
        <v>96.637608966376092</v>
      </c>
    </row>
    <row r="175" spans="1:7" x14ac:dyDescent="0.2">
      <c r="A175" t="str">
        <v>Loughborough University</v>
      </c>
      <c r="B175" t="str">
        <v>Beth Kirkham</v>
      </c>
      <c r="C175">
        <v>28.285356695869833</v>
      </c>
      <c r="E175" t="str">
        <v>Loughborough University</v>
      </c>
      <c r="F175" t="str">
        <v>Beth Kirkham</v>
      </c>
      <c r="G175">
        <v>67.372353673723538</v>
      </c>
    </row>
    <row r="176" spans="1:7" x14ac:dyDescent="0.2">
      <c r="A176" t="str">
        <v>University of Liverpool</v>
      </c>
      <c r="B176" t="str">
        <v>Lily Norbury</v>
      </c>
      <c r="C176">
        <v>95.118898623279094</v>
      </c>
      <c r="E176" t="str">
        <v>University of Liverpool</v>
      </c>
      <c r="F176" t="str">
        <v>Lily Norbury</v>
      </c>
      <c r="G176">
        <v>0</v>
      </c>
    </row>
    <row r="177" spans="1:7" x14ac:dyDescent="0.2">
      <c r="A177" t="str">
        <v>University of Manchester</v>
      </c>
      <c r="B177" t="str">
        <v>Ester Okotie-Eboh</v>
      </c>
      <c r="C177">
        <v>0</v>
      </c>
      <c r="E177" t="str">
        <v>University of Manchester</v>
      </c>
      <c r="F177" t="str">
        <v>Ester Okotie-Eboh</v>
      </c>
      <c r="G177">
        <v>94.396014943960168</v>
      </c>
    </row>
    <row r="178" spans="1:7" x14ac:dyDescent="0.2">
      <c r="A178" t="str">
        <v>University of Leeds</v>
      </c>
      <c r="B178" t="str">
        <v>Beatrix Rock</v>
      </c>
      <c r="C178">
        <v>0</v>
      </c>
      <c r="E178" t="str">
        <v>University of Leeds</v>
      </c>
      <c r="F178" t="str">
        <v>Beatrix Rock</v>
      </c>
      <c r="G178">
        <v>94.396014943960154</v>
      </c>
    </row>
    <row r="179" spans="1:7" x14ac:dyDescent="0.2">
      <c r="A179" t="str">
        <v>Loughborough University</v>
      </c>
      <c r="B179" t="str">
        <v>Halle Smith</v>
      </c>
      <c r="C179">
        <v>0</v>
      </c>
      <c r="E179" t="str">
        <v>Loughborough University</v>
      </c>
      <c r="F179" t="str">
        <v>Halle Smith</v>
      </c>
      <c r="G179">
        <v>93.64881693648816</v>
      </c>
    </row>
    <row r="180" spans="1:7" x14ac:dyDescent="0.2">
      <c r="A180" t="str">
        <v>University of York</v>
      </c>
      <c r="B180" t="str">
        <v>Molly Wade</v>
      </c>
      <c r="C180">
        <v>93.617021276595736</v>
      </c>
      <c r="E180" t="str">
        <v>University of York</v>
      </c>
      <c r="F180" t="str">
        <v>Molly Wade</v>
      </c>
      <c r="G180">
        <v>0</v>
      </c>
    </row>
    <row r="181" spans="1:7" x14ac:dyDescent="0.2">
      <c r="A181" t="str">
        <v>Durham University</v>
      </c>
      <c r="B181" t="str">
        <v>Jasmine Wheatley</v>
      </c>
      <c r="C181">
        <v>93.116395494367964</v>
      </c>
      <c r="E181" t="str">
        <v>Durham University</v>
      </c>
      <c r="F181" t="str">
        <v>Jasmine Wheatley</v>
      </c>
      <c r="G181">
        <v>0</v>
      </c>
    </row>
    <row r="182" spans="1:7" x14ac:dyDescent="0.2">
      <c r="A182" t="str">
        <v>University of Sheffield</v>
      </c>
      <c r="B182" t="str">
        <v>Molly Hauton</v>
      </c>
      <c r="C182">
        <v>0</v>
      </c>
      <c r="E182" t="str">
        <v>University of Sheffield</v>
      </c>
      <c r="F182" t="str">
        <v>Molly Hauton</v>
      </c>
      <c r="G182">
        <v>92.90161892901618</v>
      </c>
    </row>
    <row r="183" spans="1:7" x14ac:dyDescent="0.2">
      <c r="A183" t="str">
        <v>Loughborough University</v>
      </c>
      <c r="B183" t="str">
        <v>SJ Deabrew-Abeyesinhe</v>
      </c>
      <c r="C183">
        <v>0</v>
      </c>
      <c r="E183" t="str">
        <v>Loughborough University</v>
      </c>
      <c r="F183" t="str">
        <v>SJ Deabrew-Abeyesinhe</v>
      </c>
      <c r="G183">
        <v>90.909090909090921</v>
      </c>
    </row>
    <row r="184" spans="1:7" x14ac:dyDescent="0.2">
      <c r="A184" t="str">
        <v>University of Leeds</v>
      </c>
      <c r="B184" t="str">
        <v xml:space="preserve">Millie Hughes </v>
      </c>
      <c r="C184">
        <v>0</v>
      </c>
      <c r="E184" t="str">
        <v>University of Leeds</v>
      </c>
      <c r="F184" t="str">
        <v xml:space="preserve">Millie Hughes </v>
      </c>
      <c r="G184">
        <v>89.788293897882937</v>
      </c>
    </row>
    <row r="185" spans="1:7" x14ac:dyDescent="0.2">
      <c r="A185" t="str">
        <v>Loughborough University</v>
      </c>
      <c r="B185" t="str">
        <v>Alexia Rogers</v>
      </c>
      <c r="C185">
        <v>0</v>
      </c>
      <c r="E185" t="str">
        <v>Loughborough University</v>
      </c>
      <c r="F185" t="str">
        <v>Alexia Rogers</v>
      </c>
      <c r="G185">
        <v>89.414694894146962</v>
      </c>
    </row>
    <row r="186" spans="1:7" x14ac:dyDescent="0.2">
      <c r="A186" t="str">
        <v>University of Lincoln</v>
      </c>
      <c r="B186" t="str">
        <v>Neve Wilkinson</v>
      </c>
      <c r="C186">
        <v>0</v>
      </c>
      <c r="E186" t="str">
        <v>University of Lincoln</v>
      </c>
      <c r="F186" t="str">
        <v>Neve Wilkinson</v>
      </c>
      <c r="G186">
        <v>88.916562889165647</v>
      </c>
    </row>
    <row r="187" spans="1:7" x14ac:dyDescent="0.2">
      <c r="A187" t="str">
        <v>University of Liverpool</v>
      </c>
      <c r="B187" t="str">
        <v>Ella Hockridge-Ford</v>
      </c>
      <c r="C187">
        <v>88.61076345431789</v>
      </c>
      <c r="E187" t="str">
        <v>University of Liverpool</v>
      </c>
      <c r="F187" t="str">
        <v>Ella Hockridge-Ford</v>
      </c>
      <c r="G187">
        <v>0</v>
      </c>
    </row>
    <row r="188" spans="1:7" x14ac:dyDescent="0.2">
      <c r="A188" t="str">
        <v>Loughborough University</v>
      </c>
      <c r="B188" t="str">
        <v>Megan Carolan</v>
      </c>
      <c r="C188">
        <v>0</v>
      </c>
      <c r="E188" t="str">
        <v>Loughborough University</v>
      </c>
      <c r="F188" t="str">
        <v>Megan Carolan</v>
      </c>
      <c r="G188">
        <v>88.542963885429643</v>
      </c>
    </row>
    <row r="189" spans="1:7" x14ac:dyDescent="0.2">
      <c r="A189" t="str">
        <v>University of Leeds</v>
      </c>
      <c r="B189" t="str">
        <v>Ellie Steeple</v>
      </c>
      <c r="C189">
        <v>0</v>
      </c>
      <c r="E189" t="str">
        <v>University of Leeds</v>
      </c>
      <c r="F189" t="str">
        <v>Ellie Steeple</v>
      </c>
      <c r="G189">
        <v>88.169364881693639</v>
      </c>
    </row>
    <row r="190" spans="1:7" x14ac:dyDescent="0.2">
      <c r="A190" t="str">
        <v>University of Leicester</v>
      </c>
      <c r="B190" t="str">
        <v>Ritika Jain</v>
      </c>
      <c r="C190">
        <v>0</v>
      </c>
      <c r="E190" t="str">
        <v>University of Leicester</v>
      </c>
      <c r="F190" t="str">
        <v>Ritika Jain</v>
      </c>
      <c r="G190">
        <v>87.920298879202988</v>
      </c>
    </row>
    <row r="191" spans="1:7" x14ac:dyDescent="0.2">
      <c r="A191" t="str">
        <v>Loughborough University</v>
      </c>
      <c r="B191" t="str">
        <v>Annabelle Bridge</v>
      </c>
      <c r="C191">
        <v>86.983729662077593</v>
      </c>
      <c r="E191" t="str">
        <v>Loughborough University</v>
      </c>
      <c r="F191" t="str">
        <v>Annabelle Bridge</v>
      </c>
      <c r="G191">
        <v>0</v>
      </c>
    </row>
    <row r="192" spans="1:7" x14ac:dyDescent="0.2">
      <c r="A192" t="str">
        <v>University of Edinburgh</v>
      </c>
      <c r="B192" t="str">
        <v>Alesha Sarfaz</v>
      </c>
      <c r="C192">
        <v>86.483103879849793</v>
      </c>
      <c r="E192" t="str">
        <v>University of Edinburgh</v>
      </c>
      <c r="F192" t="str">
        <v>Alesha Sarfaz</v>
      </c>
      <c r="G192">
        <v>0</v>
      </c>
    </row>
    <row r="193" spans="1:7" x14ac:dyDescent="0.2">
      <c r="A193" t="str">
        <v>University of Sheffield</v>
      </c>
      <c r="B193" t="str">
        <v>Ella Anderton</v>
      </c>
      <c r="C193">
        <v>0</v>
      </c>
      <c r="E193" t="str">
        <v>University of Sheffield</v>
      </c>
      <c r="F193" t="str">
        <v>Ella Anderton</v>
      </c>
      <c r="G193">
        <v>84.68244084682442</v>
      </c>
    </row>
    <row r="194" spans="1:7" x14ac:dyDescent="0.2">
      <c r="A194" t="str">
        <v>University of Sheffield</v>
      </c>
      <c r="B194" t="str">
        <v>Lola Rodriguez</v>
      </c>
      <c r="C194">
        <v>82.978723404255334</v>
      </c>
      <c r="E194" t="str">
        <v>University of Sheffield</v>
      </c>
      <c r="F194" t="str">
        <v>Lola Rodriguez</v>
      </c>
      <c r="G194">
        <v>0</v>
      </c>
    </row>
    <row r="195" spans="1:7" x14ac:dyDescent="0.2">
      <c r="A195" t="str">
        <v>University of Lincoln</v>
      </c>
      <c r="B195" t="str">
        <v>Jessica Meredith</v>
      </c>
      <c r="C195">
        <v>81.977471839799747</v>
      </c>
      <c r="E195" t="str">
        <v>University of Lincoln</v>
      </c>
      <c r="F195" t="str">
        <v>Jessica Meredith</v>
      </c>
      <c r="G195">
        <v>0</v>
      </c>
    </row>
    <row r="196" spans="1:7" x14ac:dyDescent="0.2">
      <c r="A196" t="str">
        <v>Leeds Beckett University</v>
      </c>
      <c r="B196" t="str">
        <v>Megan Price</v>
      </c>
      <c r="C196">
        <v>38.047559449311635</v>
      </c>
      <c r="E196" t="str">
        <v>Leeds Beckett University</v>
      </c>
      <c r="F196" t="str">
        <v>Megan Price</v>
      </c>
      <c r="G196">
        <v>42.34122042341221</v>
      </c>
    </row>
    <row r="197" spans="1:7" x14ac:dyDescent="0.2">
      <c r="A197" t="str">
        <v>Northumbria University</v>
      </c>
      <c r="B197" t="str">
        <v>Rosie Ward</v>
      </c>
      <c r="C197">
        <v>0</v>
      </c>
      <c r="E197" t="str">
        <v>Northumbria University</v>
      </c>
      <c r="F197" t="str">
        <v>Rosie Ward</v>
      </c>
      <c r="G197">
        <v>78.953922789539234</v>
      </c>
    </row>
    <row r="198" spans="1:7" x14ac:dyDescent="0.2">
      <c r="A198" t="str">
        <v>Loughborough University</v>
      </c>
      <c r="B198" t="str">
        <v>Milly Ampofo-Anti</v>
      </c>
      <c r="C198">
        <v>0</v>
      </c>
      <c r="E198" t="str">
        <v>Loughborough University</v>
      </c>
      <c r="F198" t="str">
        <v>Milly Ampofo-Anti</v>
      </c>
      <c r="G198">
        <v>76.836861768368621</v>
      </c>
    </row>
    <row r="199" spans="1:7" x14ac:dyDescent="0.2">
      <c r="A199" t="str">
        <v>University of Leeds</v>
      </c>
      <c r="B199" t="str">
        <v>Leah Waughman</v>
      </c>
      <c r="C199">
        <v>0</v>
      </c>
      <c r="E199" t="str">
        <v>University of Leeds</v>
      </c>
      <c r="F199" t="str">
        <v>Leah Waughman</v>
      </c>
      <c r="G199">
        <v>75.965130759651316</v>
      </c>
    </row>
    <row r="200" spans="1:7" x14ac:dyDescent="0.2">
      <c r="A200" t="str">
        <v>University of Lincoln</v>
      </c>
      <c r="B200" t="str">
        <v>Halle Cooke</v>
      </c>
      <c r="C200">
        <v>75.344180225281605</v>
      </c>
      <c r="E200" t="str">
        <v>University of Lincoln</v>
      </c>
      <c r="F200" t="str">
        <v>Halle Cooke</v>
      </c>
      <c r="G200">
        <v>0</v>
      </c>
    </row>
    <row r="201" spans="1:7" x14ac:dyDescent="0.2">
      <c r="A201" t="str">
        <v>Northumbria University</v>
      </c>
      <c r="B201" t="str">
        <v>Sophie Wilkinson</v>
      </c>
      <c r="C201">
        <v>0</v>
      </c>
      <c r="E201" t="str">
        <v>Northumbria University</v>
      </c>
      <c r="F201" t="str">
        <v>Sophie Wilkinson</v>
      </c>
      <c r="G201">
        <v>73.848069738480703</v>
      </c>
    </row>
    <row r="202" spans="1:7" x14ac:dyDescent="0.2">
      <c r="A202" t="str">
        <v>Keele University</v>
      </c>
      <c r="B202" t="str">
        <v>Nikola Miler</v>
      </c>
      <c r="C202">
        <v>0</v>
      </c>
      <c r="E202" t="str">
        <v>Keele University</v>
      </c>
      <c r="F202" t="str">
        <v>Nikola Miler</v>
      </c>
      <c r="G202">
        <v>71.481942714819439</v>
      </c>
    </row>
    <row r="203" spans="1:7" x14ac:dyDescent="0.2">
      <c r="A203" t="str">
        <v>University of Sheffield</v>
      </c>
      <c r="B203" t="str">
        <v>Cerys Matthews</v>
      </c>
      <c r="C203">
        <v>69.837296620775959</v>
      </c>
      <c r="E203" t="str">
        <v>University of Sheffield</v>
      </c>
      <c r="F203" t="str">
        <v>Cerys Matthews</v>
      </c>
      <c r="G203">
        <v>0</v>
      </c>
    </row>
    <row r="204" spans="1:7" x14ac:dyDescent="0.2">
      <c r="A204" t="str">
        <v>University of Lincoln</v>
      </c>
      <c r="B204" t="str">
        <v>Aimee Ross</v>
      </c>
      <c r="C204">
        <v>64.455569461827281</v>
      </c>
      <c r="E204" t="str">
        <v>University of Lincoln</v>
      </c>
      <c r="F204" t="str">
        <v>Aimee Ross</v>
      </c>
      <c r="G204">
        <v>0</v>
      </c>
    </row>
    <row r="205" spans="1:7" x14ac:dyDescent="0.2">
      <c r="A205" t="str">
        <v>University of Edinburgh</v>
      </c>
      <c r="B205" t="str">
        <v>Grace Williams</v>
      </c>
      <c r="C205">
        <v>63.829787234042549</v>
      </c>
      <c r="E205" t="str">
        <v>University of Edinburgh</v>
      </c>
      <c r="F205" t="str">
        <v>Grace Williams</v>
      </c>
      <c r="G205">
        <v>0</v>
      </c>
    </row>
    <row r="206" spans="1:7" x14ac:dyDescent="0.2">
      <c r="A206" t="str">
        <v>Sheffield Hallam University</v>
      </c>
      <c r="B206" t="str">
        <v>Emily Strong</v>
      </c>
      <c r="C206">
        <v>0</v>
      </c>
      <c r="E206" t="str">
        <v>Sheffield Hallam University</v>
      </c>
      <c r="F206" t="str">
        <v>Emily Strong</v>
      </c>
      <c r="G206">
        <v>60.273972602739732</v>
      </c>
    </row>
    <row r="207" spans="1:7" x14ac:dyDescent="0.2">
      <c r="A207" t="str">
        <v>University of Leeds</v>
      </c>
      <c r="B207" t="str">
        <v>Amy Jones</v>
      </c>
      <c r="C207">
        <v>0</v>
      </c>
      <c r="E207" t="str">
        <v>University of Leeds</v>
      </c>
      <c r="F207" t="str">
        <v>Amy Jones</v>
      </c>
      <c r="G207">
        <v>58.655043586550434</v>
      </c>
    </row>
    <row r="208" spans="1:7" x14ac:dyDescent="0.2">
      <c r="A208" t="str">
        <v>Loughborough University</v>
      </c>
      <c r="B208" t="str">
        <v>Emily Burgess</v>
      </c>
      <c r="C208">
        <v>0</v>
      </c>
      <c r="E208" t="str">
        <v>Loughborough University</v>
      </c>
      <c r="F208" t="str">
        <v>Emily Burgess</v>
      </c>
      <c r="G208">
        <v>57.285180572851814</v>
      </c>
    </row>
    <row r="209" spans="1:7" x14ac:dyDescent="0.2">
      <c r="A209" t="str">
        <v>Northumbria University</v>
      </c>
      <c r="B209" t="str">
        <v>Tyler Lynn</v>
      </c>
      <c r="C209">
        <v>0</v>
      </c>
      <c r="E209" t="str">
        <v>Northumbria University</v>
      </c>
      <c r="F209" t="str">
        <v>Tyler Lynn</v>
      </c>
      <c r="G209">
        <v>56.911581569115825</v>
      </c>
    </row>
    <row r="210" spans="1:7" x14ac:dyDescent="0.2">
      <c r="A210" t="str">
        <v>University of Lincoln</v>
      </c>
      <c r="B210" t="str">
        <v>Isla Blackaby</v>
      </c>
      <c r="C210">
        <v>0</v>
      </c>
      <c r="E210" t="str">
        <v>University of Lincoln</v>
      </c>
      <c r="F210" t="str">
        <v>Isla Blackaby</v>
      </c>
      <c r="G210">
        <v>55.292652552926533</v>
      </c>
    </row>
    <row r="211" spans="1:7" x14ac:dyDescent="0.2">
      <c r="A211" t="str">
        <v>Loughborough University</v>
      </c>
      <c r="B211" t="str">
        <v>Holly Sayer</v>
      </c>
      <c r="C211">
        <v>0</v>
      </c>
      <c r="E211" t="str">
        <v>Loughborough University</v>
      </c>
      <c r="F211" t="str">
        <v>Holly Sayer</v>
      </c>
      <c r="G211">
        <v>53.673723536737242</v>
      </c>
    </row>
    <row r="212" spans="1:7" x14ac:dyDescent="0.2">
      <c r="A212" t="str">
        <v>Sheffield Hallam University</v>
      </c>
      <c r="B212" t="str">
        <v>Fearne Woolley</v>
      </c>
      <c r="C212">
        <v>45.056320400500624</v>
      </c>
      <c r="E212" t="str">
        <v>Sheffield Hallam University</v>
      </c>
      <c r="F212" t="str">
        <v>Fearne Woolley</v>
      </c>
      <c r="G212">
        <v>0</v>
      </c>
    </row>
    <row r="213" spans="1:7" x14ac:dyDescent="0.2">
      <c r="A213" t="str">
        <v>University of Leeds</v>
      </c>
      <c r="B213" t="str">
        <v>Sarah Theobald</v>
      </c>
      <c r="C213">
        <v>41.301627033792236</v>
      </c>
      <c r="E213" t="str">
        <v>University of Leeds</v>
      </c>
      <c r="F213" t="str">
        <v>Sarah Theobald</v>
      </c>
      <c r="G213">
        <v>0</v>
      </c>
    </row>
    <row r="214" spans="1:7" x14ac:dyDescent="0.2">
      <c r="A214" t="str">
        <v>Leeds Beckett University</v>
      </c>
      <c r="B214" t="str">
        <v>Frances Geldard</v>
      </c>
      <c r="C214">
        <v>28.785982478097623</v>
      </c>
      <c r="E214" t="str">
        <v>Leeds Beckett University</v>
      </c>
      <c r="F214" t="str">
        <v>Frances Geldard</v>
      </c>
      <c r="G214">
        <v>0</v>
      </c>
    </row>
    <row r="215" spans="1:7" x14ac:dyDescent="0.2">
      <c r="A215" t="str">
        <v>University of Nottingham</v>
      </c>
      <c r="B215" t="str">
        <v>Balla Given</v>
      </c>
      <c r="C215">
        <v>0</v>
      </c>
      <c r="E215" t="str">
        <v>University of Nottingham</v>
      </c>
      <c r="F215" t="str">
        <v>Balla Given</v>
      </c>
      <c r="G215">
        <v>0</v>
      </c>
    </row>
    <row r="216" spans="1:7" x14ac:dyDescent="0.2">
      <c r="A216" t="str">
        <v>University of Liverpool</v>
      </c>
      <c r="B216" t="str">
        <v>Jessica Grizenkova</v>
      </c>
      <c r="C216">
        <v>0</v>
      </c>
      <c r="E216" t="str">
        <v>University of Liverpool</v>
      </c>
      <c r="F216" t="str">
        <v>Jessica Grizenkova</v>
      </c>
      <c r="G216">
        <v>0</v>
      </c>
    </row>
    <row r="217" spans="1:7" x14ac:dyDescent="0.2">
      <c r="A217" t="str">
        <v>Loughborough University</v>
      </c>
      <c r="B217" t="str">
        <v>Ellie Burgess</v>
      </c>
      <c r="C217">
        <v>0</v>
      </c>
      <c r="E217" t="str">
        <v>Loughborough University</v>
      </c>
      <c r="F217" t="str">
        <v>Ellie Burgess</v>
      </c>
      <c r="G217">
        <v>0</v>
      </c>
    </row>
    <row r="218" spans="1:7" x14ac:dyDescent="0.2">
      <c r="A218" t="str">
        <v>University of Liverpool</v>
      </c>
      <c r="B218" t="str">
        <v>Holly Trellis</v>
      </c>
      <c r="C218">
        <v>0</v>
      </c>
      <c r="E218" t="str">
        <v>University of Liverpool</v>
      </c>
      <c r="F218" t="str">
        <v>Holly Trellis</v>
      </c>
      <c r="G218">
        <v>0</v>
      </c>
    </row>
    <row r="219" spans="1:7" x14ac:dyDescent="0.2">
      <c r="A219" t="str">
        <v>University of Leeds</v>
      </c>
      <c r="B219" t="str">
        <v>Larissa Campbell</v>
      </c>
      <c r="C219">
        <v>0</v>
      </c>
      <c r="E219" t="str">
        <v>University of Leeds</v>
      </c>
      <c r="F219" t="str">
        <v>Larissa Campbell</v>
      </c>
      <c r="G219">
        <v>0</v>
      </c>
    </row>
    <row r="220" spans="1:7" x14ac:dyDescent="0.2">
      <c r="A220" t="str">
        <v>University of Nottingham</v>
      </c>
      <c r="B220" t="str">
        <v>Lildh Campbell</v>
      </c>
      <c r="C220">
        <v>0</v>
      </c>
      <c r="E220" t="str">
        <v>University of Nottingham</v>
      </c>
      <c r="F220" t="str">
        <v>Lildh Campbell</v>
      </c>
      <c r="G220">
        <v>0</v>
      </c>
    </row>
    <row r="221" spans="1:7" x14ac:dyDescent="0.2">
      <c r="A221" t="str">
        <v>University of Sheffield</v>
      </c>
      <c r="B221" t="str">
        <v>Nathan Reynolds</v>
      </c>
      <c r="C221">
        <v>92.035398230088504</v>
      </c>
      <c r="E221" t="str">
        <v>University of Sheffield</v>
      </c>
      <c r="F221" t="str">
        <v>Nathan Reynolds</v>
      </c>
      <c r="G221">
        <v>94.342507645259928</v>
      </c>
    </row>
    <row r="222" spans="1:7" x14ac:dyDescent="0.2">
      <c r="A222" t="str">
        <v>University of Sheffield</v>
      </c>
      <c r="B222" t="str">
        <v>James Elles-Arnison</v>
      </c>
      <c r="C222">
        <v>100</v>
      </c>
      <c r="E222" t="str">
        <v>University of Sheffield</v>
      </c>
      <c r="F222" t="str">
        <v>James Elles-Arnison</v>
      </c>
      <c r="G222">
        <v>0</v>
      </c>
    </row>
    <row r="223" spans="1:7" x14ac:dyDescent="0.2">
      <c r="A223" t="str">
        <v>University of Leicester</v>
      </c>
      <c r="B223" t="str">
        <v>Quentin Botchway</v>
      </c>
      <c r="C223">
        <v>0</v>
      </c>
      <c r="E223" t="str">
        <v>University of Leicester</v>
      </c>
      <c r="F223" t="str">
        <v>Quentin Botchway</v>
      </c>
      <c r="G223">
        <v>100</v>
      </c>
    </row>
    <row r="224" spans="1:7" x14ac:dyDescent="0.2">
      <c r="A224" t="str">
        <v>University of Edinburgh</v>
      </c>
      <c r="B224" t="str">
        <v>Aaron Walker</v>
      </c>
      <c r="C224">
        <v>96.755162241887902</v>
      </c>
      <c r="E224" t="str">
        <v>University of Edinburgh</v>
      </c>
      <c r="F224" t="str">
        <v>Aaron Walker</v>
      </c>
      <c r="G224">
        <v>0</v>
      </c>
    </row>
    <row r="225" spans="1:7" x14ac:dyDescent="0.2">
      <c r="A225" t="str">
        <v>Keele University</v>
      </c>
      <c r="B225" t="str">
        <v>Joe Curtis</v>
      </c>
      <c r="C225">
        <v>0</v>
      </c>
      <c r="E225" t="str">
        <v>Keele University</v>
      </c>
      <c r="F225" t="str">
        <v>Joe Curtis</v>
      </c>
      <c r="G225">
        <v>95.412844036697251</v>
      </c>
    </row>
    <row r="226" spans="1:7" x14ac:dyDescent="0.2">
      <c r="A226" t="str">
        <v>Keele University</v>
      </c>
      <c r="B226" t="str">
        <v>Lewis McCann</v>
      </c>
      <c r="C226">
        <v>0</v>
      </c>
      <c r="E226" t="str">
        <v>Keele University</v>
      </c>
      <c r="F226" t="str">
        <v>Lewis McCann</v>
      </c>
      <c r="G226">
        <v>88.685015290519871</v>
      </c>
    </row>
    <row r="227" spans="1:7" x14ac:dyDescent="0.2">
      <c r="A227" t="str">
        <v>University of Sheffield</v>
      </c>
      <c r="B227" t="str">
        <v>Nathan Jones</v>
      </c>
      <c r="C227">
        <v>87.61061946902656</v>
      </c>
      <c r="E227" t="str">
        <v>University of Sheffield</v>
      </c>
      <c r="F227" t="str">
        <v>Nathan Jones</v>
      </c>
      <c r="G227">
        <v>0</v>
      </c>
    </row>
    <row r="228" spans="1:7" x14ac:dyDescent="0.2">
      <c r="A228" t="str">
        <v>Keele University</v>
      </c>
      <c r="B228" t="str">
        <v>Joshua McDermott</v>
      </c>
      <c r="C228">
        <v>0</v>
      </c>
      <c r="E228" t="str">
        <v>Keele University</v>
      </c>
      <c r="F228" t="str">
        <v>Joshua McDermott</v>
      </c>
      <c r="G228">
        <v>87.155963302752284</v>
      </c>
    </row>
    <row r="229" spans="1:7" x14ac:dyDescent="0.2">
      <c r="A229" t="str">
        <v>University of Lincoln</v>
      </c>
      <c r="B229" t="str">
        <v>Lucy Allum</v>
      </c>
      <c r="C229">
        <v>96.603563474387528</v>
      </c>
      <c r="E229" t="str">
        <v>University of Lincoln</v>
      </c>
      <c r="F229" t="str">
        <v>Lucy Allum</v>
      </c>
      <c r="G229">
        <v>90.083798882681577</v>
      </c>
    </row>
    <row r="230" spans="1:7" x14ac:dyDescent="0.2">
      <c r="A230" t="str">
        <v>University of Leeds</v>
      </c>
      <c r="B230" t="str">
        <v>Ashna Kantelia</v>
      </c>
      <c r="C230">
        <v>89.922048997772819</v>
      </c>
      <c r="E230" t="str">
        <v>University of Leeds</v>
      </c>
      <c r="F230" t="str">
        <v>Ashna Kantelia</v>
      </c>
      <c r="G230">
        <v>89.664804469273733</v>
      </c>
    </row>
    <row r="231" spans="1:7" x14ac:dyDescent="0.2">
      <c r="A231" t="str">
        <v>Loughborough University</v>
      </c>
      <c r="B231" t="str">
        <v>Chenai Drage</v>
      </c>
      <c r="C231">
        <v>91.453229398663694</v>
      </c>
      <c r="E231" t="str">
        <v>Loughborough University</v>
      </c>
      <c r="F231" t="str">
        <v>Chenai Drage</v>
      </c>
      <c r="G231">
        <v>88.128491620111731</v>
      </c>
    </row>
    <row r="232" spans="1:7" x14ac:dyDescent="0.2">
      <c r="A232" t="str">
        <v>University of Sheffield</v>
      </c>
      <c r="B232" t="str">
        <v>Maisie Mawby</v>
      </c>
      <c r="C232">
        <v>92.010022271714902</v>
      </c>
      <c r="E232" t="str">
        <v>University of Sheffield</v>
      </c>
      <c r="F232" t="str">
        <v>Maisie Mawby</v>
      </c>
      <c r="G232">
        <v>86.312849162011176</v>
      </c>
    </row>
    <row r="233" spans="1:7" x14ac:dyDescent="0.2">
      <c r="A233" t="str">
        <v>University of Sheffield</v>
      </c>
      <c r="B233" t="str">
        <v>Emma Ferrari</v>
      </c>
      <c r="C233">
        <v>88.669265033407569</v>
      </c>
      <c r="E233" t="str">
        <v>University of Sheffield</v>
      </c>
      <c r="F233" t="str">
        <v>Emma Ferrari</v>
      </c>
      <c r="G233">
        <v>82.402234636871512</v>
      </c>
    </row>
    <row r="234" spans="1:7" x14ac:dyDescent="0.2">
      <c r="A234" t="str">
        <v>University of Sheffield</v>
      </c>
      <c r="B234" t="str">
        <v>Mollie Hardwick</v>
      </c>
      <c r="C234">
        <v>87.694877505567931</v>
      </c>
      <c r="E234" t="str">
        <v>University of Sheffield</v>
      </c>
      <c r="F234" t="str">
        <v>Mollie Hardwick</v>
      </c>
      <c r="G234">
        <v>76.955307262569832</v>
      </c>
    </row>
    <row r="235" spans="1:7" x14ac:dyDescent="0.2">
      <c r="A235" t="str">
        <v>University of Lincoln</v>
      </c>
      <c r="B235" t="str">
        <v>Mia Watson</v>
      </c>
      <c r="C235">
        <v>67.093541202672597</v>
      </c>
      <c r="E235" t="str">
        <v>University of Lincoln</v>
      </c>
      <c r="F235" t="str">
        <v>Mia Watson</v>
      </c>
      <c r="G235">
        <v>91.759776536312842</v>
      </c>
    </row>
    <row r="236" spans="1:7" x14ac:dyDescent="0.2">
      <c r="A236" t="str">
        <v>University of Leicester</v>
      </c>
      <c r="B236" t="str">
        <v>Calese Reid</v>
      </c>
      <c r="C236">
        <v>0</v>
      </c>
      <c r="E236" t="str">
        <v>University of Leicester</v>
      </c>
      <c r="F236" t="str">
        <v>Calese Reid</v>
      </c>
      <c r="G236">
        <v>100</v>
      </c>
    </row>
    <row r="237" spans="1:7" x14ac:dyDescent="0.2">
      <c r="A237" t="str">
        <v>University of Lincoln</v>
      </c>
      <c r="B237" t="str">
        <v>Neve Wilkinson</v>
      </c>
      <c r="C237">
        <v>100</v>
      </c>
      <c r="E237" t="str">
        <v>University of Lincoln</v>
      </c>
      <c r="F237" t="str">
        <v>Neve Wilkinson</v>
      </c>
      <c r="G237">
        <v>0</v>
      </c>
    </row>
    <row r="238" spans="1:7" x14ac:dyDescent="0.2">
      <c r="A238" t="str">
        <v>Keele University</v>
      </c>
      <c r="B238" t="str">
        <v>Madison Coburn</v>
      </c>
      <c r="C238">
        <v>0</v>
      </c>
      <c r="E238" t="str">
        <v>Keele University</v>
      </c>
      <c r="F238" t="str">
        <v>Madison Coburn</v>
      </c>
      <c r="G238">
        <v>99.720670391061475</v>
      </c>
    </row>
    <row r="239" spans="1:7" x14ac:dyDescent="0.2">
      <c r="A239" t="str">
        <v>University of York</v>
      </c>
      <c r="B239" t="str">
        <v>Chloe Macek</v>
      </c>
      <c r="C239">
        <v>98.969933184855222</v>
      </c>
      <c r="E239" t="str">
        <v>University of York</v>
      </c>
      <c r="F239" t="str">
        <v>Chloe Macek</v>
      </c>
      <c r="G239">
        <v>0</v>
      </c>
    </row>
    <row r="240" spans="1:7" x14ac:dyDescent="0.2">
      <c r="A240" t="str">
        <v>University of Nottingham</v>
      </c>
      <c r="B240" t="str">
        <v>Ellie Heard</v>
      </c>
      <c r="C240">
        <v>98.273942093541194</v>
      </c>
      <c r="E240" t="str">
        <v>University of Nottingham</v>
      </c>
      <c r="F240" t="str">
        <v>Ellie Heard</v>
      </c>
      <c r="G240">
        <v>0</v>
      </c>
    </row>
    <row r="241" spans="1:7" x14ac:dyDescent="0.2">
      <c r="A241" t="str">
        <v>University of Leeds</v>
      </c>
      <c r="B241" t="str">
        <v>Millie Hughes</v>
      </c>
      <c r="C241">
        <v>97.717149220489958</v>
      </c>
      <c r="E241" t="str">
        <v>University of Leeds</v>
      </c>
      <c r="F241" t="str">
        <v>Millie Hughes</v>
      </c>
      <c r="G241">
        <v>0</v>
      </c>
    </row>
    <row r="242" spans="1:7" x14ac:dyDescent="0.2">
      <c r="A242" t="str">
        <v>University of York</v>
      </c>
      <c r="B242" t="str">
        <v>Hollie Farmer</v>
      </c>
      <c r="C242">
        <v>96.742761692650319</v>
      </c>
      <c r="E242" t="str">
        <v>University of York</v>
      </c>
      <c r="F242" t="str">
        <v>Hollie Farmer</v>
      </c>
      <c r="G242">
        <v>0</v>
      </c>
    </row>
    <row r="243" spans="1:7" x14ac:dyDescent="0.2">
      <c r="A243" t="str">
        <v>Loughborough University</v>
      </c>
      <c r="B243" t="str">
        <v>Bairavee Sivakanthan</v>
      </c>
      <c r="C243">
        <v>0</v>
      </c>
      <c r="E243" t="str">
        <v>Loughborough University</v>
      </c>
      <c r="F243" t="str">
        <v>Bairavee Sivakanthan</v>
      </c>
      <c r="G243">
        <v>95.530726256983257</v>
      </c>
    </row>
    <row r="244" spans="1:7" x14ac:dyDescent="0.2">
      <c r="A244" t="str">
        <v>Keele University</v>
      </c>
      <c r="B244" t="str">
        <v>Shannon Murphy</v>
      </c>
      <c r="C244">
        <v>0</v>
      </c>
      <c r="E244" t="str">
        <v>Keele University</v>
      </c>
      <c r="F244" t="str">
        <v>Shannon Murphy</v>
      </c>
      <c r="G244">
        <v>94.553072625698334</v>
      </c>
    </row>
    <row r="245" spans="1:7" x14ac:dyDescent="0.2">
      <c r="A245" t="str">
        <v>University of Leeds</v>
      </c>
      <c r="B245" t="str">
        <v>Amy Jones</v>
      </c>
      <c r="C245">
        <v>94.515590200445445</v>
      </c>
      <c r="E245" t="str">
        <v>University of Leeds</v>
      </c>
      <c r="F245" t="str">
        <v>Amy Jones</v>
      </c>
      <c r="G245">
        <v>0</v>
      </c>
    </row>
    <row r="246" spans="1:7" x14ac:dyDescent="0.2">
      <c r="A246" t="str">
        <v>Keele University</v>
      </c>
      <c r="B246" t="str">
        <v>Hannah Matthews</v>
      </c>
      <c r="C246">
        <v>0</v>
      </c>
      <c r="E246" t="str">
        <v>Keele University</v>
      </c>
      <c r="F246" t="str">
        <v>Hannah Matthews</v>
      </c>
      <c r="G246">
        <v>93.296089385474872</v>
      </c>
    </row>
    <row r="247" spans="1:7" x14ac:dyDescent="0.2">
      <c r="A247" t="str">
        <v>University of Leeds</v>
      </c>
      <c r="B247" t="str">
        <v>Sadie Shanley</v>
      </c>
      <c r="C247">
        <v>92.566815144766139</v>
      </c>
      <c r="E247" t="str">
        <v>University of Leeds</v>
      </c>
      <c r="F247" t="str">
        <v>Sadie Shanley</v>
      </c>
      <c r="G247">
        <v>0</v>
      </c>
    </row>
    <row r="248" spans="1:7" x14ac:dyDescent="0.2">
      <c r="A248" t="str">
        <v>Sheffield Hallam University</v>
      </c>
      <c r="B248" t="str">
        <v>Ferne Woolley</v>
      </c>
      <c r="C248">
        <v>0</v>
      </c>
      <c r="E248" t="str">
        <v>Sheffield Hallam University</v>
      </c>
      <c r="F248" t="str">
        <v>Ferne Woolley</v>
      </c>
      <c r="G248">
        <v>92.318435754189949</v>
      </c>
    </row>
    <row r="249" spans="1:7" x14ac:dyDescent="0.2">
      <c r="A249" t="str">
        <v>Keele University</v>
      </c>
      <c r="B249" t="str">
        <v>Georgina Green</v>
      </c>
      <c r="C249">
        <v>0</v>
      </c>
      <c r="E249" t="str">
        <v>Keele University</v>
      </c>
      <c r="F249" t="str">
        <v>Georgina Green</v>
      </c>
      <c r="G249">
        <v>91.34078212290504</v>
      </c>
    </row>
    <row r="250" spans="1:7" x14ac:dyDescent="0.2">
      <c r="A250" t="str">
        <v>University of Lincoln</v>
      </c>
      <c r="B250" t="str">
        <v>Angela Moyo</v>
      </c>
      <c r="C250">
        <v>0</v>
      </c>
      <c r="E250" t="str">
        <v>University of Lincoln</v>
      </c>
      <c r="F250" t="str">
        <v>Angela Moyo</v>
      </c>
      <c r="G250">
        <v>88.826815642458115</v>
      </c>
    </row>
    <row r="251" spans="1:7" x14ac:dyDescent="0.2">
      <c r="A251" t="str">
        <v>Loughborough University</v>
      </c>
      <c r="B251" t="str">
        <v>Sophie Ridd</v>
      </c>
      <c r="C251">
        <v>0</v>
      </c>
      <c r="E251" t="str">
        <v>Loughborough University</v>
      </c>
      <c r="F251" t="str">
        <v>Sophie Ridd</v>
      </c>
      <c r="G251">
        <v>87.290502793296113</v>
      </c>
    </row>
    <row r="252" spans="1:7" x14ac:dyDescent="0.2">
      <c r="A252" t="str">
        <v>University of Leicester</v>
      </c>
      <c r="B252" t="str">
        <v>Joelle Nkansah</v>
      </c>
      <c r="C252">
        <v>0</v>
      </c>
      <c r="E252" t="str">
        <v>University of Leicester</v>
      </c>
      <c r="F252" t="str">
        <v>Joelle Nkansah</v>
      </c>
      <c r="G252">
        <v>82.821229050279328</v>
      </c>
    </row>
    <row r="253" spans="1:7" x14ac:dyDescent="0.2">
      <c r="A253" t="str">
        <v>University of Lincoln</v>
      </c>
      <c r="B253" t="str">
        <v>Imi Junge</v>
      </c>
      <c r="C253">
        <v>82.683741648106917</v>
      </c>
      <c r="E253" t="str">
        <v>University of Lincoln</v>
      </c>
      <c r="F253" t="str">
        <v>Imi Junge</v>
      </c>
      <c r="G253">
        <v>0</v>
      </c>
    </row>
    <row r="254" spans="1:7" x14ac:dyDescent="0.2">
      <c r="A254" t="str">
        <v>Northumbria University</v>
      </c>
      <c r="B254" t="str">
        <v>Abigail Trinder</v>
      </c>
      <c r="C254">
        <v>0</v>
      </c>
      <c r="E254" t="str">
        <v>Northumbria University</v>
      </c>
      <c r="F254" t="str">
        <v>Abigail Trinder</v>
      </c>
      <c r="G254">
        <v>81.983240223463696</v>
      </c>
    </row>
    <row r="255" spans="1:7" x14ac:dyDescent="0.2">
      <c r="A255" t="str">
        <v>Keele University</v>
      </c>
      <c r="B255" t="str">
        <v>Olivia Sigsworth</v>
      </c>
      <c r="C255">
        <v>0</v>
      </c>
      <c r="E255" t="str">
        <v>Keele University</v>
      </c>
      <c r="F255" t="str">
        <v>Olivia Sigsworth</v>
      </c>
      <c r="G255">
        <v>81.424581005586589</v>
      </c>
    </row>
    <row r="256" spans="1:7" x14ac:dyDescent="0.2">
      <c r="A256" t="str">
        <v>Loughborough University</v>
      </c>
      <c r="B256" t="str">
        <v>Tania Makumire</v>
      </c>
      <c r="C256">
        <v>0</v>
      </c>
      <c r="E256" t="str">
        <v>Loughborough University</v>
      </c>
      <c r="F256" t="str">
        <v>Tania Makumire</v>
      </c>
      <c r="G256">
        <v>81.424581005586589</v>
      </c>
    </row>
    <row r="257" spans="1:7" x14ac:dyDescent="0.2">
      <c r="A257" t="str">
        <v>University of Leicester</v>
      </c>
      <c r="B257" t="str">
        <v>Ayekaba Esimi</v>
      </c>
      <c r="C257">
        <v>0</v>
      </c>
      <c r="E257" t="str">
        <v>University of Leicester</v>
      </c>
      <c r="F257" t="str">
        <v>Ayekaba Esimi</v>
      </c>
      <c r="G257">
        <v>81.005586592178787</v>
      </c>
    </row>
    <row r="258" spans="1:7" x14ac:dyDescent="0.2">
      <c r="A258" t="str">
        <v>Keele University</v>
      </c>
      <c r="B258" t="str">
        <v>Ruby Hicks</v>
      </c>
      <c r="C258">
        <v>0</v>
      </c>
      <c r="E258" t="str">
        <v>Keele University</v>
      </c>
      <c r="F258" t="str">
        <v>Ruby Hicks</v>
      </c>
      <c r="G258">
        <v>80.86592178770951</v>
      </c>
    </row>
    <row r="259" spans="1:7" x14ac:dyDescent="0.2">
      <c r="A259" t="str">
        <v>Sheffield Hallam University</v>
      </c>
      <c r="B259" t="str">
        <v>Bethany Cooper</v>
      </c>
      <c r="C259">
        <v>0</v>
      </c>
      <c r="E259" t="str">
        <v>Sheffield Hallam University</v>
      </c>
      <c r="F259" t="str">
        <v>Bethany Cooper</v>
      </c>
      <c r="G259">
        <v>80.86592178770951</v>
      </c>
    </row>
    <row r="260" spans="1:7" x14ac:dyDescent="0.2">
      <c r="A260" t="str">
        <v>Sheffield Hallam University</v>
      </c>
      <c r="B260" t="str">
        <v>Samara Pearson</v>
      </c>
      <c r="C260">
        <v>0</v>
      </c>
      <c r="E260" t="str">
        <v>Sheffield Hallam University</v>
      </c>
      <c r="F260" t="str">
        <v>Samara Pearson</v>
      </c>
      <c r="G260">
        <v>76.815642458100555</v>
      </c>
    </row>
    <row r="261" spans="1:7" x14ac:dyDescent="0.2">
      <c r="A261" t="str">
        <v>University of Lincoln</v>
      </c>
      <c r="B261" t="str">
        <v>Faith Farmery</v>
      </c>
      <c r="C261">
        <v>0</v>
      </c>
      <c r="E261" t="str">
        <v>University of Lincoln</v>
      </c>
      <c r="F261" t="str">
        <v>Faith Farmery</v>
      </c>
      <c r="G261">
        <v>76.536312849162016</v>
      </c>
    </row>
    <row r="262" spans="1:7" x14ac:dyDescent="0.2">
      <c r="A262" t="str">
        <v>Northumbria University</v>
      </c>
      <c r="B262" t="str">
        <v>Amber Krepi</v>
      </c>
      <c r="C262">
        <v>0</v>
      </c>
      <c r="E262" t="str">
        <v>Northumbria University</v>
      </c>
      <c r="F262" t="str">
        <v>Amber Krepi</v>
      </c>
      <c r="G262">
        <v>72.625698324022352</v>
      </c>
    </row>
    <row r="263" spans="1:7" x14ac:dyDescent="0.2">
      <c r="A263" t="str">
        <v>Northumbria University</v>
      </c>
      <c r="B263" t="str">
        <v>Aisha Samuel</v>
      </c>
      <c r="C263">
        <v>0</v>
      </c>
      <c r="E263" t="str">
        <v>Northumbria University</v>
      </c>
      <c r="F263" t="str">
        <v>Aisha Samuel</v>
      </c>
      <c r="G263">
        <v>69.55307262569832</v>
      </c>
    </row>
    <row r="264" spans="1:7" x14ac:dyDescent="0.2">
      <c r="A264" t="str">
        <v>University of Lincoln</v>
      </c>
      <c r="B264" t="str">
        <v>Ebony Lound</v>
      </c>
      <c r="C264">
        <v>0</v>
      </c>
      <c r="E264" t="str">
        <v>University of Lincoln</v>
      </c>
      <c r="F264" t="str">
        <v>Ebony Lound</v>
      </c>
      <c r="G264">
        <v>0</v>
      </c>
    </row>
    <row r="265" spans="1:7" x14ac:dyDescent="0.2">
      <c r="A265" t="str">
        <v>University of Leicester</v>
      </c>
      <c r="B265" t="str">
        <v>Caitlin Teagle</v>
      </c>
      <c r="C265">
        <v>0</v>
      </c>
      <c r="E265" t="str">
        <v>University of Leicester</v>
      </c>
      <c r="F265" t="str">
        <v>Caitlin Teagle</v>
      </c>
      <c r="G265">
        <v>0</v>
      </c>
    </row>
    <row r="266" spans="1:7" x14ac:dyDescent="0.2">
      <c r="A266" t="str">
        <v>University of York</v>
      </c>
      <c r="B266" t="str">
        <v>Rebecca Humphreys</v>
      </c>
      <c r="C266">
        <v>0</v>
      </c>
      <c r="E266" t="str">
        <v>University of York</v>
      </c>
      <c r="F266" t="str">
        <v>Rebecca Humphreys</v>
      </c>
      <c r="G266">
        <v>0</v>
      </c>
    </row>
  </sheetData>
  <phoneticPr fontId="1" type="noConversion"/>
  <pageMargins left="0.7" right="0.7" top="0.75" bottom="0.75" header="0.3" footer="0.3"/>
  <tableParts count="3"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2EA54-827C-1A43-B1CA-53F92B674DED}">
  <sheetPr>
    <tabColor rgb="FF00B050"/>
  </sheetPr>
  <dimension ref="A1:W76"/>
  <sheetViews>
    <sheetView zoomScale="107" workbookViewId="0">
      <pane xSplit="3" ySplit="1" topLeftCell="T2" activePane="bottomRight" state="frozen"/>
      <selection pane="topRight" activeCell="D1" sqref="D1"/>
      <selection pane="bottomLeft" activeCell="A2" sqref="A2"/>
      <selection pane="bottomRight" activeCell="W1" sqref="W1"/>
    </sheetView>
  </sheetViews>
  <sheetFormatPr baseColWidth="10" defaultColWidth="11" defaultRowHeight="16" x14ac:dyDescent="0.2"/>
  <cols>
    <col min="1" max="1" width="6.33203125" style="4" customWidth="1"/>
    <col min="2" max="2" width="26.1640625" style="4" bestFit="1" customWidth="1"/>
    <col min="3" max="3" width="23.83203125" style="4" customWidth="1"/>
    <col min="4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36</v>
      </c>
      <c r="H1" s="2" t="s">
        <v>24</v>
      </c>
      <c r="I1" s="2" t="s">
        <v>25</v>
      </c>
      <c r="J1" s="3" t="s">
        <v>26</v>
      </c>
      <c r="K1" s="3" t="s">
        <v>37</v>
      </c>
      <c r="L1" s="2" t="s">
        <v>27</v>
      </c>
      <c r="M1" s="2" t="s">
        <v>28</v>
      </c>
      <c r="N1" s="3" t="s">
        <v>29</v>
      </c>
      <c r="O1" s="3" t="s">
        <v>38</v>
      </c>
      <c r="P1" s="2" t="s">
        <v>12</v>
      </c>
      <c r="Q1" s="2" t="s">
        <v>13</v>
      </c>
      <c r="R1" s="3" t="s">
        <v>14</v>
      </c>
      <c r="S1" s="3" t="s">
        <v>39</v>
      </c>
      <c r="T1" s="2" t="s">
        <v>21</v>
      </c>
      <c r="U1" s="2" t="s">
        <v>22</v>
      </c>
      <c r="V1" s="3" t="s">
        <v>23</v>
      </c>
      <c r="W1" s="3" t="s">
        <v>35</v>
      </c>
    </row>
    <row r="2" spans="1:23" x14ac:dyDescent="0.2">
      <c r="A2" s="1"/>
      <c r="B2" t="s">
        <v>43</v>
      </c>
      <c r="C2" s="13" t="s">
        <v>174</v>
      </c>
      <c r="D2" s="4">
        <v>91.489361702127667</v>
      </c>
      <c r="E2" s="4">
        <v>100</v>
      </c>
      <c r="F2" s="10">
        <f>INTWAG[[#This Row],[FX Comp 1]]+INTWAG[[#This Row],[FX Comp 2]]</f>
        <v>191.48936170212767</v>
      </c>
      <c r="G2" s="6">
        <f>RANK(INTWAG[[#This Row],[FX League Total]],INTWAG[FX League Total], 0)</f>
        <v>1</v>
      </c>
      <c r="H2" s="4">
        <v>0</v>
      </c>
      <c r="I2" s="4">
        <v>0</v>
      </c>
      <c r="J2" s="10">
        <f>INTWAG[[#This Row],[BB Comp 1]]+INTWAG[[#This Row],[BB Comp 2]]</f>
        <v>0</v>
      </c>
      <c r="K2" s="6">
        <f>RANK(INTWAG[[#This Row],[BB League Total]],INTWAG[BB League Total], 0)</f>
        <v>47</v>
      </c>
      <c r="L2" s="4">
        <v>98.373983739837385</v>
      </c>
      <c r="M2" s="4">
        <v>100</v>
      </c>
      <c r="N2" s="10">
        <f>INTWAG[[#This Row],[UB Comp 1]]+INTWAG[[#This Row],[UB Comp 2]]</f>
        <v>198.3739837398374</v>
      </c>
      <c r="O2" s="6">
        <f>RANK(INTWAG[[#This Row],[UB League Total]],INTWAG[UB League Total], 0)</f>
        <v>1</v>
      </c>
      <c r="P2" s="4">
        <v>97.278911564625858</v>
      </c>
      <c r="Q2" s="4">
        <v>95.608108108108098</v>
      </c>
      <c r="R2" s="10">
        <f>INTWAG[[#This Row],[VT Comp 1]]+INTWAG[[#This Row],[VT Comp 2]]</f>
        <v>192.88701967273397</v>
      </c>
      <c r="S2" s="6">
        <f>RANK(INTWAG[[#This Row],[VT League Total]],INTWAG[VT League Total], 0)</f>
        <v>4</v>
      </c>
      <c r="T2" s="4">
        <v>98.372966207759688</v>
      </c>
      <c r="U2" s="4">
        <v>98.754669987546691</v>
      </c>
      <c r="V2" s="10">
        <f>INTWAG[[#This Row],[AA Comp 1]]+INTWAG[[#This Row],[AA Comp 2]]</f>
        <v>197.12763619530637</v>
      </c>
      <c r="W2" s="6">
        <f>RANK(INTWAG[[#This Row],[AA League Total]],INTWAG[AA League Total], 0)</f>
        <v>1</v>
      </c>
    </row>
    <row r="3" spans="1:23" x14ac:dyDescent="0.2">
      <c r="A3" s="1"/>
      <c r="B3" t="s">
        <v>79</v>
      </c>
      <c r="C3" t="s">
        <v>157</v>
      </c>
      <c r="D3" s="4">
        <v>87.943262411347519</v>
      </c>
      <c r="E3" s="4">
        <v>88.321167883211672</v>
      </c>
      <c r="F3" s="10">
        <f>INTWAG[[#This Row],[FX Comp 1]]+INTWAG[[#This Row],[FX Comp 2]]</f>
        <v>176.26443029455919</v>
      </c>
      <c r="G3" s="6">
        <f>RANK(INTWAG[[#This Row],[FX League Total]],INTWAG[FX League Total], 0)</f>
        <v>5</v>
      </c>
      <c r="H3" s="4">
        <v>87.832699619771873</v>
      </c>
      <c r="I3">
        <v>100</v>
      </c>
      <c r="J3" s="10">
        <f>INTWAG[[#This Row],[BB Comp 1]]+INTWAG[[#This Row],[BB Comp 2]]</f>
        <v>187.83269961977186</v>
      </c>
      <c r="K3" s="6">
        <f>RANK(INTWAG[[#This Row],[BB League Total]],INTWAG[BB League Total], 0)</f>
        <v>1</v>
      </c>
      <c r="L3" s="4">
        <v>0</v>
      </c>
      <c r="M3" s="4">
        <v>0</v>
      </c>
      <c r="N3" s="10">
        <f>INTWAG[[#This Row],[UB Comp 1]]+INTWAG[[#This Row],[UB Comp 2]]</f>
        <v>0</v>
      </c>
      <c r="O3" s="6">
        <f>RANK(INTWAG[[#This Row],[UB League Total]],INTWAG[UB League Total], 0)</f>
        <v>20</v>
      </c>
      <c r="P3" s="4">
        <v>96.938775510204096</v>
      </c>
      <c r="Q3" s="4">
        <v>95.27027027027026</v>
      </c>
      <c r="R3" s="10">
        <f>INTWAG[[#This Row],[VT Comp 1]]+INTWAG[[#This Row],[VT Comp 2]]</f>
        <v>192.20904578047436</v>
      </c>
      <c r="S3" s="6">
        <f>RANK(INTWAG[[#This Row],[VT League Total]],INTWAG[VT League Total], 0)</f>
        <v>5</v>
      </c>
      <c r="T3" s="4">
        <v>95.61952440550688</v>
      </c>
      <c r="U3" s="4">
        <v>99.875466998754675</v>
      </c>
      <c r="V3" s="10">
        <f>INTWAG[[#This Row],[AA Comp 1]]+INTWAG[[#This Row],[AA Comp 2]]</f>
        <v>195.49499140426155</v>
      </c>
      <c r="W3" s="6">
        <f>RANK(INTWAG[[#This Row],[AA League Total]],INTWAG[AA League Total], 0)</f>
        <v>2</v>
      </c>
    </row>
    <row r="4" spans="1:23" x14ac:dyDescent="0.2">
      <c r="A4" s="1"/>
      <c r="B4" t="s">
        <v>79</v>
      </c>
      <c r="C4" t="s">
        <v>156</v>
      </c>
      <c r="D4" s="4">
        <v>86.524822695035454</v>
      </c>
      <c r="E4" s="4">
        <v>89.051094890510939</v>
      </c>
      <c r="F4" s="10">
        <f>INTWAG[[#This Row],[FX Comp 1]]+INTWAG[[#This Row],[FX Comp 2]]</f>
        <v>175.57591758554639</v>
      </c>
      <c r="G4" s="6">
        <f>RANK(INTWAG[[#This Row],[FX League Total]],INTWAG[FX League Total], 0)</f>
        <v>6</v>
      </c>
      <c r="H4" s="4">
        <v>82.50950570342205</v>
      </c>
      <c r="I4" s="4">
        <v>96.402877697841717</v>
      </c>
      <c r="J4" s="10">
        <f>INTWAG[[#This Row],[BB Comp 1]]+INTWAG[[#This Row],[BB Comp 2]]</f>
        <v>178.91238340126375</v>
      </c>
      <c r="K4" s="6">
        <f>RANK(INTWAG[[#This Row],[BB League Total]],INTWAG[BB League Total], 0)</f>
        <v>2</v>
      </c>
      <c r="L4" s="4">
        <v>0</v>
      </c>
      <c r="M4" s="4">
        <v>0</v>
      </c>
      <c r="N4" s="10">
        <f>INTWAG[[#This Row],[UB Comp 1]]+INTWAG[[#This Row],[UB Comp 2]]</f>
        <v>0</v>
      </c>
      <c r="O4" s="6">
        <f>RANK(INTWAG[[#This Row],[UB League Total]],INTWAG[UB League Total], 0)</f>
        <v>20</v>
      </c>
      <c r="P4" s="4">
        <v>100</v>
      </c>
      <c r="Q4" s="4">
        <v>98.310810810810807</v>
      </c>
      <c r="R4" s="10">
        <f>INTWAG[[#This Row],[VT Comp 1]]+INTWAG[[#This Row],[VT Comp 2]]</f>
        <v>198.31081081081081</v>
      </c>
      <c r="S4" s="6">
        <f>RANK(INTWAG[[#This Row],[VT League Total]],INTWAG[VT League Total], 0)</f>
        <v>1</v>
      </c>
      <c r="T4" s="4">
        <v>94.493116395494354</v>
      </c>
      <c r="U4" s="4">
        <v>100</v>
      </c>
      <c r="V4" s="10">
        <f>INTWAG[[#This Row],[AA Comp 1]]+INTWAG[[#This Row],[AA Comp 2]]</f>
        <v>194.49311639549435</v>
      </c>
      <c r="W4" s="6">
        <f>RANK(INTWAG[[#This Row],[AA League Total]],INTWAG[AA League Total], 0)</f>
        <v>3</v>
      </c>
    </row>
    <row r="5" spans="1:23" x14ac:dyDescent="0.2">
      <c r="A5" s="1"/>
      <c r="B5" t="s">
        <v>42</v>
      </c>
      <c r="C5" t="s">
        <v>193</v>
      </c>
      <c r="D5" s="4">
        <v>91.489361702127667</v>
      </c>
      <c r="E5" s="4">
        <v>96.350364963503637</v>
      </c>
      <c r="F5" s="10">
        <f>INTWAG[[#This Row],[FX Comp 1]]+INTWAG[[#This Row],[FX Comp 2]]</f>
        <v>187.8397266656313</v>
      </c>
      <c r="G5" s="6">
        <f>RANK(INTWAG[[#This Row],[FX League Total]],INTWAG[FX League Total], 0)</f>
        <v>2</v>
      </c>
      <c r="H5" s="4">
        <v>0</v>
      </c>
      <c r="I5" s="4">
        <v>0</v>
      </c>
      <c r="J5" s="10">
        <f>INTWAG[[#This Row],[BB Comp 1]]+INTWAG[[#This Row],[BB Comp 2]]</f>
        <v>0</v>
      </c>
      <c r="K5" s="6">
        <f>RANK(INTWAG[[#This Row],[BB League Total]],INTWAG[BB League Total], 0)</f>
        <v>47</v>
      </c>
      <c r="L5" s="4">
        <v>82.113821138211378</v>
      </c>
      <c r="M5">
        <v>88.983050847457619</v>
      </c>
      <c r="N5" s="10">
        <f>INTWAG[[#This Row],[UB Comp 1]]+INTWAG[[#This Row],[UB Comp 2]]</f>
        <v>171.096871985669</v>
      </c>
      <c r="O5" s="6">
        <f>RANK(INTWAG[[#This Row],[UB League Total]],INTWAG[UB League Total], 0)</f>
        <v>2</v>
      </c>
      <c r="P5" s="4">
        <v>95.238095238095241</v>
      </c>
      <c r="Q5" s="4">
        <v>95.608108108108098</v>
      </c>
      <c r="R5" s="10">
        <f>INTWAG[[#This Row],[VT Comp 1]]+INTWAG[[#This Row],[VT Comp 2]]</f>
        <v>190.84620334620334</v>
      </c>
      <c r="S5" s="6">
        <f>RANK(INTWAG[[#This Row],[VT League Total]],INTWAG[VT League Total], 0)</f>
        <v>6</v>
      </c>
      <c r="T5" s="4">
        <v>92.615769712140178</v>
      </c>
      <c r="U5" s="4">
        <v>94.271481942714829</v>
      </c>
      <c r="V5" s="10">
        <f>INTWAG[[#This Row],[AA Comp 1]]+INTWAG[[#This Row],[AA Comp 2]]</f>
        <v>186.88725165485499</v>
      </c>
      <c r="W5" s="6">
        <f>RANK(INTWAG[[#This Row],[AA League Total]],INTWAG[AA League Total], 0)</f>
        <v>4</v>
      </c>
    </row>
    <row r="6" spans="1:23" x14ac:dyDescent="0.2">
      <c r="A6" s="1"/>
      <c r="B6" t="s">
        <v>42</v>
      </c>
      <c r="C6" t="s">
        <v>176</v>
      </c>
      <c r="D6" s="4">
        <v>68.794326241134755</v>
      </c>
      <c r="E6" s="4">
        <v>87.591240875912405</v>
      </c>
      <c r="F6" s="10">
        <f>INTWAG[[#This Row],[FX Comp 1]]+INTWAG[[#This Row],[FX Comp 2]]</f>
        <v>156.38556711704717</v>
      </c>
      <c r="G6" s="6">
        <f>RANK(INTWAG[[#This Row],[FX League Total]],INTWAG[FX League Total], 0)</f>
        <v>16</v>
      </c>
      <c r="H6" s="4">
        <v>72.623574144486696</v>
      </c>
      <c r="I6">
        <v>87.769784172661858</v>
      </c>
      <c r="J6" s="10">
        <f>INTWAG[[#This Row],[BB Comp 1]]+INTWAG[[#This Row],[BB Comp 2]]</f>
        <v>160.39335831714857</v>
      </c>
      <c r="K6" s="6">
        <f>RANK(INTWAG[[#This Row],[BB League Total]],INTWAG[BB League Total], 0)</f>
        <v>5</v>
      </c>
      <c r="L6" s="4">
        <v>0</v>
      </c>
      <c r="M6">
        <v>0</v>
      </c>
      <c r="N6" s="10">
        <f>INTWAG[[#This Row],[UB Comp 1]]+INTWAG[[#This Row],[UB Comp 2]]</f>
        <v>0</v>
      </c>
      <c r="O6" s="6">
        <f>RANK(INTWAG[[#This Row],[UB League Total]],INTWAG[UB League Total], 0)</f>
        <v>20</v>
      </c>
      <c r="P6" s="4">
        <v>93.877551020408163</v>
      </c>
      <c r="Q6" s="4">
        <v>92.229729729729726</v>
      </c>
      <c r="R6" s="10">
        <f>INTWAG[[#This Row],[VT Comp 1]]+INTWAG[[#This Row],[VT Comp 2]]</f>
        <v>186.10728075013787</v>
      </c>
      <c r="S6" s="6">
        <f>RANK(INTWAG[[#This Row],[VT League Total]],INTWAG[VT League Total], 0)</f>
        <v>7</v>
      </c>
      <c r="T6" s="4">
        <v>82.728410513141412</v>
      </c>
      <c r="U6" s="4">
        <v>94.271481942714829</v>
      </c>
      <c r="V6" s="10">
        <f>INTWAG[[#This Row],[AA Comp 1]]+INTWAG[[#This Row],[AA Comp 2]]</f>
        <v>176.99989245585624</v>
      </c>
      <c r="W6" s="6">
        <f>RANK(INTWAG[[#This Row],[AA League Total]],INTWAG[AA League Total], 0)</f>
        <v>5</v>
      </c>
    </row>
    <row r="7" spans="1:23" x14ac:dyDescent="0.2">
      <c r="A7" s="1"/>
      <c r="B7" t="s">
        <v>52</v>
      </c>
      <c r="C7" t="s">
        <v>168</v>
      </c>
      <c r="D7">
        <v>78.723404255319153</v>
      </c>
      <c r="E7">
        <v>86.131386861313857</v>
      </c>
      <c r="F7" s="10">
        <f>INTWAG[[#This Row],[FX Comp 1]]+INTWAG[[#This Row],[FX Comp 2]]</f>
        <v>164.85479111663301</v>
      </c>
      <c r="G7" s="6">
        <f>RANK(INTWAG[[#This Row],[FX League Total]],INTWAG[FX League Total], 0)</f>
        <v>12</v>
      </c>
      <c r="H7">
        <v>0</v>
      </c>
      <c r="I7">
        <v>0</v>
      </c>
      <c r="J7" s="10">
        <f>INTWAG[[#This Row],[BB Comp 1]]+INTWAG[[#This Row],[BB Comp 2]]</f>
        <v>0</v>
      </c>
      <c r="K7" s="6">
        <f>RANK(INTWAG[[#This Row],[BB League Total]],INTWAG[BB League Total], 0)</f>
        <v>47</v>
      </c>
      <c r="L7">
        <v>39.024390243902438</v>
      </c>
      <c r="M7" s="4">
        <v>86.440677966101688</v>
      </c>
      <c r="N7" s="10">
        <f>INTWAG[[#This Row],[UB Comp 1]]+INTWAG[[#This Row],[UB Comp 2]]</f>
        <v>125.46506821000412</v>
      </c>
      <c r="O7" s="6">
        <f>RANK(INTWAG[[#This Row],[UB League Total]],INTWAG[UB League Total], 0)</f>
        <v>6</v>
      </c>
      <c r="P7">
        <v>97.959183673469397</v>
      </c>
      <c r="Q7">
        <v>96.959459459459453</v>
      </c>
      <c r="R7" s="10">
        <f>INTWAG[[#This Row],[VT Comp 1]]+INTWAG[[#This Row],[VT Comp 2]]</f>
        <v>194.91864313292885</v>
      </c>
      <c r="S7" s="6">
        <f>RANK(INTWAG[[#This Row],[VT League Total]],INTWAG[VT League Total], 0)</f>
        <v>2</v>
      </c>
      <c r="T7">
        <v>75.844806007509362</v>
      </c>
      <c r="U7">
        <v>90.535491905354931</v>
      </c>
      <c r="V7" s="10">
        <f>INTWAG[[#This Row],[AA Comp 1]]+INTWAG[[#This Row],[AA Comp 2]]</f>
        <v>166.38029791286431</v>
      </c>
      <c r="W7" s="6">
        <f>RANK(INTWAG[[#This Row],[AA League Total]],INTWAG[AA League Total], 0)</f>
        <v>6</v>
      </c>
    </row>
    <row r="8" spans="1:23" x14ac:dyDescent="0.2">
      <c r="A8" s="1"/>
      <c r="B8" t="s">
        <v>52</v>
      </c>
      <c r="C8" t="s">
        <v>165</v>
      </c>
      <c r="D8" s="4">
        <v>83.687943262411352</v>
      </c>
      <c r="E8" s="4">
        <v>89.78102189781022</v>
      </c>
      <c r="F8" s="10">
        <f>INTWAG[[#This Row],[FX Comp 1]]+INTWAG[[#This Row],[FX Comp 2]]</f>
        <v>173.46896516022156</v>
      </c>
      <c r="G8" s="6">
        <f>RANK(INTWAG[[#This Row],[FX League Total]],INTWAG[FX League Total], 0)</f>
        <v>8</v>
      </c>
      <c r="H8" s="4">
        <v>49.049429657794676</v>
      </c>
      <c r="I8">
        <v>93.525179856115102</v>
      </c>
      <c r="J8" s="10">
        <f>INTWAG[[#This Row],[BB Comp 1]]+INTWAG[[#This Row],[BB Comp 2]]</f>
        <v>142.57460951390976</v>
      </c>
      <c r="K8" s="6">
        <f>RANK(INTWAG[[#This Row],[BB League Total]],INTWAG[BB League Total], 0)</f>
        <v>10</v>
      </c>
      <c r="L8" s="4">
        <v>0</v>
      </c>
      <c r="M8" s="4">
        <v>0</v>
      </c>
      <c r="N8" s="10">
        <f>INTWAG[[#This Row],[UB Comp 1]]+INTWAG[[#This Row],[UB Comp 2]]</f>
        <v>0</v>
      </c>
      <c r="O8" s="6">
        <f>RANK(INTWAG[[#This Row],[UB League Total]],INTWAG[UB League Total], 0)</f>
        <v>20</v>
      </c>
      <c r="P8" s="4">
        <v>82.312925170068027</v>
      </c>
      <c r="Q8" s="4">
        <v>72.297297297297291</v>
      </c>
      <c r="R8" s="10">
        <f>INTWAG[[#This Row],[VT Comp 1]]+INTWAG[[#This Row],[VT Comp 2]]</f>
        <v>154.6102224673653</v>
      </c>
      <c r="S8" s="6">
        <f>RANK(INTWAG[[#This Row],[VT League Total]],INTWAG[VT League Total], 0)</f>
        <v>16</v>
      </c>
      <c r="T8" s="4">
        <v>75.96996245306633</v>
      </c>
      <c r="U8" s="4">
        <v>89.663760896637612</v>
      </c>
      <c r="V8" s="10">
        <f>INTWAG[[#This Row],[AA Comp 1]]+INTWAG[[#This Row],[AA Comp 2]]</f>
        <v>165.63372334970393</v>
      </c>
      <c r="W8" s="6">
        <f>RANK(INTWAG[[#This Row],[AA League Total]],INTWAG[AA League Total], 0)</f>
        <v>7</v>
      </c>
    </row>
    <row r="9" spans="1:23" x14ac:dyDescent="0.2">
      <c r="A9" s="1"/>
      <c r="B9" t="s">
        <v>65</v>
      </c>
      <c r="C9" t="s">
        <v>153</v>
      </c>
      <c r="D9">
        <v>78.01418439716312</v>
      </c>
      <c r="E9">
        <v>87.591240875912405</v>
      </c>
      <c r="F9" s="10">
        <f>INTWAG[[#This Row],[FX Comp 1]]+INTWAG[[#This Row],[FX Comp 2]]</f>
        <v>165.60542527307553</v>
      </c>
      <c r="G9" s="6">
        <f>RANK(INTWAG[[#This Row],[FX League Total]],INTWAG[FX League Total], 0)</f>
        <v>11</v>
      </c>
      <c r="H9">
        <v>0</v>
      </c>
      <c r="I9">
        <v>0</v>
      </c>
      <c r="J9" s="10">
        <f>INTWAG[[#This Row],[BB Comp 1]]+INTWAG[[#This Row],[BB Comp 2]]</f>
        <v>0</v>
      </c>
      <c r="K9" s="6">
        <f>RANK(INTWAG[[#This Row],[BB League Total]],INTWAG[BB League Total], 0)</f>
        <v>47</v>
      </c>
      <c r="L9">
        <v>63.414634146341456</v>
      </c>
      <c r="M9">
        <v>68.644067796610173</v>
      </c>
      <c r="N9" s="10">
        <f>INTWAG[[#This Row],[UB Comp 1]]+INTWAG[[#This Row],[UB Comp 2]]</f>
        <v>132.05870194295164</v>
      </c>
      <c r="O9" s="6">
        <f>RANK(INTWAG[[#This Row],[UB League Total]],INTWAG[UB League Total], 0)</f>
        <v>5</v>
      </c>
      <c r="P9">
        <v>89.115646258503403</v>
      </c>
      <c r="Q9">
        <v>87.837837837837824</v>
      </c>
      <c r="R9" s="10">
        <f>INTWAG[[#This Row],[VT Comp 1]]+INTWAG[[#This Row],[VT Comp 2]]</f>
        <v>176.95348409634124</v>
      </c>
      <c r="S9" s="6">
        <f>RANK(INTWAG[[#This Row],[VT League Total]],INTWAG[VT League Total], 0)</f>
        <v>8</v>
      </c>
      <c r="T9">
        <v>79.84981226533165</v>
      </c>
      <c r="U9">
        <v>82.440846824408482</v>
      </c>
      <c r="V9" s="10">
        <f>INTWAG[[#This Row],[AA Comp 1]]+INTWAG[[#This Row],[AA Comp 2]]</f>
        <v>162.29065908974013</v>
      </c>
      <c r="W9" s="6">
        <f>RANK(INTWAG[[#This Row],[AA League Total]],INTWAG[AA League Total], 0)</f>
        <v>8</v>
      </c>
    </row>
    <row r="10" spans="1:23" x14ac:dyDescent="0.2">
      <c r="A10" s="1"/>
      <c r="B10" t="s">
        <v>50</v>
      </c>
      <c r="C10" t="s">
        <v>184</v>
      </c>
      <c r="D10" s="4">
        <v>68.794326241134755</v>
      </c>
      <c r="E10" s="4">
        <v>79.562043795620426</v>
      </c>
      <c r="F10" s="10">
        <f>INTWAG[[#This Row],[FX Comp 1]]+INTWAG[[#This Row],[FX Comp 2]]</f>
        <v>148.35637003675518</v>
      </c>
      <c r="G10" s="6">
        <f>RANK(INTWAG[[#This Row],[FX League Total]],INTWAG[FX League Total], 0)</f>
        <v>19</v>
      </c>
      <c r="H10" s="4">
        <v>84.030418250950575</v>
      </c>
      <c r="I10">
        <v>61.151079136690647</v>
      </c>
      <c r="J10" s="10">
        <f>INTWAG[[#This Row],[BB Comp 1]]+INTWAG[[#This Row],[BB Comp 2]]</f>
        <v>145.18149738764123</v>
      </c>
      <c r="K10" s="6">
        <f>RANK(INTWAG[[#This Row],[BB League Total]],INTWAG[BB League Total], 0)</f>
        <v>9</v>
      </c>
      <c r="L10" s="4">
        <v>0</v>
      </c>
      <c r="M10" s="4">
        <v>0</v>
      </c>
      <c r="N10" s="10">
        <f>INTWAG[[#This Row],[UB Comp 1]]+INTWAG[[#This Row],[UB Comp 2]]</f>
        <v>0</v>
      </c>
      <c r="O10" s="6">
        <f>RANK(INTWAG[[#This Row],[UB League Total]],INTWAG[UB League Total], 0)</f>
        <v>20</v>
      </c>
      <c r="P10" s="4">
        <v>74.829931972789126</v>
      </c>
      <c r="Q10" s="4">
        <v>91.554054054054063</v>
      </c>
      <c r="R10" s="10">
        <f>INTWAG[[#This Row],[VT Comp 1]]+INTWAG[[#This Row],[VT Comp 2]]</f>
        <v>166.38398602684319</v>
      </c>
      <c r="S10" s="6">
        <f>RANK(INTWAG[[#This Row],[VT League Total]],INTWAG[VT League Total], 0)</f>
        <v>12</v>
      </c>
      <c r="T10" s="4">
        <v>79.474342928660818</v>
      </c>
      <c r="U10" s="4">
        <v>82.067247820672478</v>
      </c>
      <c r="V10" s="10">
        <f>INTWAG[[#This Row],[AA Comp 1]]+INTWAG[[#This Row],[AA Comp 2]]</f>
        <v>161.5415907493333</v>
      </c>
      <c r="W10" s="6">
        <f>RANK(INTWAG[[#This Row],[AA League Total]],INTWAG[AA League Total], 0)</f>
        <v>9</v>
      </c>
    </row>
    <row r="11" spans="1:23" x14ac:dyDescent="0.2">
      <c r="A11" s="1"/>
      <c r="B11" t="s">
        <v>50</v>
      </c>
      <c r="C11" t="s">
        <v>188</v>
      </c>
      <c r="D11" s="4">
        <v>75.177304964539005</v>
      </c>
      <c r="E11" s="4">
        <v>77.372262773722639</v>
      </c>
      <c r="F11" s="10">
        <f>INTWAG[[#This Row],[FX Comp 1]]+INTWAG[[#This Row],[FX Comp 2]]</f>
        <v>152.54956773826166</v>
      </c>
      <c r="G11" s="6">
        <f>RANK(INTWAG[[#This Row],[FX League Total]],INTWAG[FX League Total], 0)</f>
        <v>18</v>
      </c>
      <c r="H11" s="4">
        <v>66.159695817490487</v>
      </c>
      <c r="I11" s="4">
        <v>64.028776978417255</v>
      </c>
      <c r="J11" s="10">
        <f>INTWAG[[#This Row],[BB Comp 1]]+INTWAG[[#This Row],[BB Comp 2]]</f>
        <v>130.18847279590773</v>
      </c>
      <c r="K11" s="6">
        <f>RANK(INTWAG[[#This Row],[BB League Total]],INTWAG[BB League Total], 0)</f>
        <v>11</v>
      </c>
      <c r="L11" s="4">
        <v>0</v>
      </c>
      <c r="M11" s="4">
        <v>0</v>
      </c>
      <c r="N11" s="10">
        <f>INTWAG[[#This Row],[UB Comp 1]]+INTWAG[[#This Row],[UB Comp 2]]</f>
        <v>0</v>
      </c>
      <c r="O11" s="6">
        <f>RANK(INTWAG[[#This Row],[UB League Total]],INTWAG[UB League Total], 0)</f>
        <v>20</v>
      </c>
      <c r="P11" s="4">
        <v>77.210884353741491</v>
      </c>
      <c r="Q11" s="4">
        <v>83.108108108108112</v>
      </c>
      <c r="R11" s="10">
        <f>INTWAG[[#This Row],[VT Comp 1]]+INTWAG[[#This Row],[VT Comp 2]]</f>
        <v>160.3189924618496</v>
      </c>
      <c r="S11" s="6">
        <f>RANK(INTWAG[[#This Row],[VT League Total]],INTWAG[VT League Total], 0)</f>
        <v>15</v>
      </c>
      <c r="T11" s="4">
        <v>76.720901126408009</v>
      </c>
      <c r="U11" s="4">
        <v>79.202988792029899</v>
      </c>
      <c r="V11" s="10">
        <f>INTWAG[[#This Row],[AA Comp 1]]+INTWAG[[#This Row],[AA Comp 2]]</f>
        <v>155.92388991843791</v>
      </c>
      <c r="W11" s="6">
        <f>RANK(INTWAG[[#This Row],[AA League Total]],INTWAG[AA League Total], 0)</f>
        <v>10</v>
      </c>
    </row>
    <row r="12" spans="1:23" x14ac:dyDescent="0.2">
      <c r="A12" s="1"/>
      <c r="B12" t="s">
        <v>51</v>
      </c>
      <c r="C12" t="s">
        <v>173</v>
      </c>
      <c r="D12">
        <v>79.432624113475171</v>
      </c>
      <c r="E12">
        <v>88.321167883211672</v>
      </c>
      <c r="F12" s="10">
        <f>INTWAG[[#This Row],[FX Comp 1]]+INTWAG[[#This Row],[FX Comp 2]]</f>
        <v>167.75379199668686</v>
      </c>
      <c r="G12" s="6">
        <f>RANK(INTWAG[[#This Row],[FX League Total]],INTWAG[FX League Total], 0)</f>
        <v>10</v>
      </c>
      <c r="H12">
        <v>82.889733840304174</v>
      </c>
      <c r="I12">
        <v>94.964028776978409</v>
      </c>
      <c r="J12" s="10">
        <f>INTWAG[[#This Row],[BB Comp 1]]+INTWAG[[#This Row],[BB Comp 2]]</f>
        <v>177.8537626172826</v>
      </c>
      <c r="K12" s="6">
        <f>RANK(INTWAG[[#This Row],[BB League Total]],INTWAG[BB League Total], 0)</f>
        <v>3</v>
      </c>
      <c r="L12">
        <v>0</v>
      </c>
      <c r="M12">
        <v>0</v>
      </c>
      <c r="N12" s="10">
        <f>INTWAG[[#This Row],[UB Comp 1]]+INTWAG[[#This Row],[UB Comp 2]]</f>
        <v>0</v>
      </c>
      <c r="O12" s="6">
        <f>RANK(INTWAG[[#This Row],[UB League Total]],INTWAG[UB League Total], 0)</f>
        <v>20</v>
      </c>
      <c r="P12">
        <v>94.557823129251702</v>
      </c>
      <c r="Q12">
        <v>0</v>
      </c>
      <c r="R12" s="10">
        <f>INTWAG[[#This Row],[VT Comp 1]]+INTWAG[[#This Row],[VT Comp 2]]</f>
        <v>94.557823129251702</v>
      </c>
      <c r="S12" s="6">
        <f>RANK(INTWAG[[#This Row],[VT League Total]],INTWAG[VT League Total], 0)</f>
        <v>35</v>
      </c>
      <c r="T12">
        <v>90.112640801001248</v>
      </c>
      <c r="U12">
        <v>63.013698630136986</v>
      </c>
      <c r="V12" s="10">
        <f>INTWAG[[#This Row],[AA Comp 1]]+INTWAG[[#This Row],[AA Comp 2]]</f>
        <v>153.12633943113823</v>
      </c>
      <c r="W12" s="6">
        <f>RANK(INTWAG[[#This Row],[AA League Total]],INTWAG[AA League Total], 0)</f>
        <v>11</v>
      </c>
    </row>
    <row r="13" spans="1:23" x14ac:dyDescent="0.2">
      <c r="A13" s="1"/>
      <c r="B13" t="s">
        <v>65</v>
      </c>
      <c r="C13" t="s">
        <v>192</v>
      </c>
      <c r="D13" s="4">
        <v>75.177304964539005</v>
      </c>
      <c r="E13" s="4">
        <v>71.532846715328475</v>
      </c>
      <c r="F13" s="10">
        <f>INTWAG[[#This Row],[FX Comp 1]]+INTWAG[[#This Row],[FX Comp 2]]</f>
        <v>146.71015167986747</v>
      </c>
      <c r="G13" s="6">
        <f>RANK(INTWAG[[#This Row],[FX League Total]],INTWAG[FX League Total], 0)</f>
        <v>21</v>
      </c>
      <c r="H13" s="4">
        <v>0</v>
      </c>
      <c r="I13" s="4">
        <v>0</v>
      </c>
      <c r="J13" s="10">
        <f>INTWAG[[#This Row],[BB Comp 1]]+INTWAG[[#This Row],[BB Comp 2]]</f>
        <v>0</v>
      </c>
      <c r="K13" s="6">
        <f>RANK(INTWAG[[#This Row],[BB League Total]],INTWAG[BB League Total], 0)</f>
        <v>47</v>
      </c>
      <c r="L13" s="4">
        <v>69.918699186991859</v>
      </c>
      <c r="M13" s="4">
        <v>71.610169491525426</v>
      </c>
      <c r="N13" s="10">
        <f>INTWAG[[#This Row],[UB Comp 1]]+INTWAG[[#This Row],[UB Comp 2]]</f>
        <v>141.52886867851728</v>
      </c>
      <c r="O13" s="6">
        <f>RANK(INTWAG[[#This Row],[UB League Total]],INTWAG[UB League Total], 0)</f>
        <v>4</v>
      </c>
      <c r="P13" s="4">
        <v>82.993197278911566</v>
      </c>
      <c r="Q13" s="4">
        <v>77.364864864864856</v>
      </c>
      <c r="R13" s="10">
        <f>INTWAG[[#This Row],[VT Comp 1]]+INTWAG[[#This Row],[VT Comp 2]]</f>
        <v>160.35806214377641</v>
      </c>
      <c r="S13" s="6">
        <f>RANK(INTWAG[[#This Row],[VT League Total]],INTWAG[VT League Total], 0)</f>
        <v>14</v>
      </c>
      <c r="T13" s="4">
        <v>78.598247809762185</v>
      </c>
      <c r="U13" s="4">
        <v>73.972602739726028</v>
      </c>
      <c r="V13" s="10">
        <f>INTWAG[[#This Row],[AA Comp 1]]+INTWAG[[#This Row],[AA Comp 2]]</f>
        <v>152.57085054948823</v>
      </c>
      <c r="W13" s="6">
        <f>RANK(INTWAG[[#This Row],[AA League Total]],INTWAG[AA League Total], 0)</f>
        <v>12</v>
      </c>
    </row>
    <row r="14" spans="1:23" x14ac:dyDescent="0.2">
      <c r="A14" s="1"/>
      <c r="B14" t="s">
        <v>52</v>
      </c>
      <c r="C14" t="s">
        <v>163</v>
      </c>
      <c r="D14" s="4">
        <v>85.106382978723403</v>
      </c>
      <c r="E14" s="4">
        <v>92.700729927007288</v>
      </c>
      <c r="F14" s="10">
        <f>INTWAG[[#This Row],[FX Comp 1]]+INTWAG[[#This Row],[FX Comp 2]]</f>
        <v>177.80711290573069</v>
      </c>
      <c r="G14" s="6">
        <f>RANK(INTWAG[[#This Row],[FX League Total]],INTWAG[FX League Total], 0)</f>
        <v>4</v>
      </c>
      <c r="H14" s="4">
        <v>0</v>
      </c>
      <c r="I14" s="4">
        <v>80.575539568345306</v>
      </c>
      <c r="J14" s="10">
        <f>INTWAG[[#This Row],[BB Comp 1]]+INTWAG[[#This Row],[BB Comp 2]]</f>
        <v>80.575539568345306</v>
      </c>
      <c r="K14" s="6">
        <f>RANK(INTWAG[[#This Row],[BB League Total]],INTWAG[BB League Total], 0)</f>
        <v>26</v>
      </c>
      <c r="L14" s="4">
        <v>0</v>
      </c>
      <c r="M14" s="4">
        <v>0</v>
      </c>
      <c r="N14" s="10">
        <f>INTWAG[[#This Row],[UB Comp 1]]+INTWAG[[#This Row],[UB Comp 2]]</f>
        <v>0</v>
      </c>
      <c r="O14" s="6">
        <f>RANK(INTWAG[[#This Row],[UB League Total]],INTWAG[UB League Total], 0)</f>
        <v>20</v>
      </c>
      <c r="P14" s="4">
        <v>86.394557823129247</v>
      </c>
      <c r="Q14" s="4">
        <v>81.081081081081081</v>
      </c>
      <c r="R14" s="10">
        <f>INTWAG[[#This Row],[VT Comp 1]]+INTWAG[[#This Row],[VT Comp 2]]</f>
        <v>167.47563890421031</v>
      </c>
      <c r="S14" s="6">
        <f>RANK(INTWAG[[#This Row],[VT League Total]],INTWAG[VT League Total], 0)</f>
        <v>11</v>
      </c>
      <c r="T14" s="4">
        <v>61.827284105131412</v>
      </c>
      <c r="U14" s="4">
        <v>89.414694894146947</v>
      </c>
      <c r="V14" s="10">
        <f>INTWAG[[#This Row],[AA Comp 1]]+INTWAG[[#This Row],[AA Comp 2]]</f>
        <v>151.24197899927836</v>
      </c>
      <c r="W14" s="6">
        <f>RANK(INTWAG[[#This Row],[AA League Total]],INTWAG[AA League Total], 0)</f>
        <v>13</v>
      </c>
    </row>
    <row r="15" spans="1:23" x14ac:dyDescent="0.2">
      <c r="A15" s="1"/>
      <c r="B15" t="s">
        <v>52</v>
      </c>
      <c r="C15" t="s">
        <v>166</v>
      </c>
      <c r="D15" s="4">
        <v>89.361702127659569</v>
      </c>
      <c r="E15" s="4">
        <v>94.890510948905103</v>
      </c>
      <c r="F15" s="10">
        <f>INTWAG[[#This Row],[FX Comp 1]]+INTWAG[[#This Row],[FX Comp 2]]</f>
        <v>184.25221307656466</v>
      </c>
      <c r="G15" s="6">
        <f>RANK(INTWAG[[#This Row],[FX League Total]],INTWAG[FX League Total], 0)</f>
        <v>3</v>
      </c>
      <c r="H15" s="4">
        <v>86.692015209125472</v>
      </c>
      <c r="I15" s="4">
        <v>66.906474820143885</v>
      </c>
      <c r="J15" s="10">
        <f>INTWAG[[#This Row],[BB Comp 1]]+INTWAG[[#This Row],[BB Comp 2]]</f>
        <v>153.59849002926936</v>
      </c>
      <c r="K15" s="6">
        <f>RANK(INTWAG[[#This Row],[BB League Total]],INTWAG[BB League Total], 0)</f>
        <v>6</v>
      </c>
      <c r="L15" s="4">
        <v>0</v>
      </c>
      <c r="M15" s="4">
        <v>0</v>
      </c>
      <c r="N15" s="10">
        <f>INTWAG[[#This Row],[UB Comp 1]]+INTWAG[[#This Row],[UB Comp 2]]</f>
        <v>0</v>
      </c>
      <c r="O15" s="6">
        <f>RANK(INTWAG[[#This Row],[UB League Total]],INTWAG[UB League Total], 0)</f>
        <v>20</v>
      </c>
      <c r="P15" s="4">
        <v>0</v>
      </c>
      <c r="Q15" s="4">
        <v>94.932432432432435</v>
      </c>
      <c r="R15" s="10">
        <f>INTWAG[[#This Row],[VT Comp 1]]+INTWAG[[#This Row],[VT Comp 2]]</f>
        <v>94.932432432432435</v>
      </c>
      <c r="S15" s="6">
        <f>RANK(INTWAG[[#This Row],[VT League Total]],INTWAG[VT League Total], 0)</f>
        <v>31</v>
      </c>
      <c r="T15" s="4">
        <v>60.075093867334161</v>
      </c>
      <c r="U15" s="4">
        <v>90.535491905354931</v>
      </c>
      <c r="V15" s="10">
        <f>INTWAG[[#This Row],[AA Comp 1]]+INTWAG[[#This Row],[AA Comp 2]]</f>
        <v>150.61058577268909</v>
      </c>
      <c r="W15" s="6">
        <f>RANK(INTWAG[[#This Row],[AA League Total]],INTWAG[AA League Total], 0)</f>
        <v>14</v>
      </c>
    </row>
    <row r="16" spans="1:23" x14ac:dyDescent="0.2">
      <c r="A16" s="1"/>
      <c r="B16" t="s">
        <v>64</v>
      </c>
      <c r="C16" t="s">
        <v>147</v>
      </c>
      <c r="D16" s="4">
        <v>87.2340425531915</v>
      </c>
      <c r="E16" s="4">
        <v>85.40145985401459</v>
      </c>
      <c r="F16" s="10">
        <f>INTWAG[[#This Row],[FX Comp 1]]+INTWAG[[#This Row],[FX Comp 2]]</f>
        <v>172.6355024072061</v>
      </c>
      <c r="G16" s="6">
        <f>RANK(INTWAG[[#This Row],[FX League Total]],INTWAG[FX League Total], 0)</f>
        <v>9</v>
      </c>
      <c r="H16" s="4">
        <v>90.114068441064632</v>
      </c>
      <c r="I16" s="4">
        <v>79.136690647482013</v>
      </c>
      <c r="J16" s="10">
        <f>INTWAG[[#This Row],[BB Comp 1]]+INTWAG[[#This Row],[BB Comp 2]]</f>
        <v>169.25075908854666</v>
      </c>
      <c r="K16" s="6">
        <f>RANK(INTWAG[[#This Row],[BB League Total]],INTWAG[BB League Total], 0)</f>
        <v>4</v>
      </c>
      <c r="L16" s="4">
        <v>0</v>
      </c>
      <c r="M16" s="4">
        <v>0</v>
      </c>
      <c r="N16" s="10">
        <f>INTWAG[[#This Row],[UB Comp 1]]+INTWAG[[#This Row],[UB Comp 2]]</f>
        <v>0</v>
      </c>
      <c r="O16" s="6">
        <f>RANK(INTWAG[[#This Row],[UB League Total]],INTWAG[UB League Total], 0)</f>
        <v>20</v>
      </c>
      <c r="P16" s="4">
        <v>0</v>
      </c>
      <c r="Q16" s="4">
        <v>82.432432432432421</v>
      </c>
      <c r="R16" s="10">
        <f>INTWAG[[#This Row],[VT Comp 1]]+INTWAG[[#This Row],[VT Comp 2]]</f>
        <v>82.432432432432421</v>
      </c>
      <c r="S16" s="6">
        <f>RANK(INTWAG[[#This Row],[VT League Total]],INTWAG[VT League Total], 0)</f>
        <v>48</v>
      </c>
      <c r="T16" s="4">
        <v>60.450563204005</v>
      </c>
      <c r="U16" s="4">
        <v>86.924034869240359</v>
      </c>
      <c r="V16" s="10">
        <f>INTWAG[[#This Row],[AA Comp 1]]+INTWAG[[#This Row],[AA Comp 2]]</f>
        <v>147.37459807324535</v>
      </c>
      <c r="W16" s="6">
        <f>RANK(INTWAG[[#This Row],[AA League Total]],INTWAG[AA League Total], 0)</f>
        <v>15</v>
      </c>
    </row>
    <row r="17" spans="1:23" x14ac:dyDescent="0.2">
      <c r="A17" s="1"/>
      <c r="B17" t="s">
        <v>51</v>
      </c>
      <c r="C17" t="s">
        <v>172</v>
      </c>
      <c r="D17">
        <v>77.304964539007088</v>
      </c>
      <c r="E17">
        <v>82.481751824817522</v>
      </c>
      <c r="F17" s="10">
        <f>INTWAG[[#This Row],[FX Comp 1]]+INTWAG[[#This Row],[FX Comp 2]]</f>
        <v>159.78671636382461</v>
      </c>
      <c r="G17" s="6">
        <f>RANK(INTWAG[[#This Row],[FX League Total]],INTWAG[FX League Total], 0)</f>
        <v>14</v>
      </c>
      <c r="H17">
        <v>0</v>
      </c>
      <c r="I17" s="4">
        <v>58.273381294964025</v>
      </c>
      <c r="J17" s="10">
        <f>INTWAG[[#This Row],[BB Comp 1]]+INTWAG[[#This Row],[BB Comp 2]]</f>
        <v>58.273381294964025</v>
      </c>
      <c r="K17" s="6">
        <f>RANK(INTWAG[[#This Row],[BB League Total]],INTWAG[BB League Total], 0)</f>
        <v>36</v>
      </c>
      <c r="L17">
        <v>0</v>
      </c>
      <c r="M17">
        <v>0</v>
      </c>
      <c r="N17" s="10">
        <f>INTWAG[[#This Row],[UB Comp 1]]+INTWAG[[#This Row],[UB Comp 2]]</f>
        <v>0</v>
      </c>
      <c r="O17" s="6">
        <f>RANK(INTWAG[[#This Row],[UB League Total]],INTWAG[UB League Total], 0)</f>
        <v>20</v>
      </c>
      <c r="P17">
        <v>98.979591836734699</v>
      </c>
      <c r="Q17">
        <v>95.27027027027026</v>
      </c>
      <c r="R17" s="10">
        <f>INTWAG[[#This Row],[VT Comp 1]]+INTWAG[[#This Row],[VT Comp 2]]</f>
        <v>194.24986210700496</v>
      </c>
      <c r="S17" s="6">
        <f>RANK(INTWAG[[#This Row],[VT League Total]],INTWAG[VT League Total], 0)</f>
        <v>3</v>
      </c>
      <c r="T17">
        <v>63.704630788485602</v>
      </c>
      <c r="U17">
        <v>83.437110834371111</v>
      </c>
      <c r="V17" s="10">
        <f>INTWAG[[#This Row],[AA Comp 1]]+INTWAG[[#This Row],[AA Comp 2]]</f>
        <v>147.14174162285673</v>
      </c>
      <c r="W17" s="6">
        <f>RANK(INTWAG[[#This Row],[AA League Total]],INTWAG[AA League Total], 0)</f>
        <v>16</v>
      </c>
    </row>
    <row r="18" spans="1:23" x14ac:dyDescent="0.2">
      <c r="A18" s="1"/>
      <c r="B18" t="s">
        <v>52</v>
      </c>
      <c r="C18" t="s">
        <v>164</v>
      </c>
      <c r="D18">
        <v>71.63120567375887</v>
      </c>
      <c r="E18">
        <v>75.912408759124077</v>
      </c>
      <c r="F18" s="10">
        <f>INTWAG[[#This Row],[FX Comp 1]]+INTWAG[[#This Row],[FX Comp 2]]</f>
        <v>147.54361443288295</v>
      </c>
      <c r="G18" s="6">
        <f>RANK(INTWAG[[#This Row],[FX League Total]],INTWAG[FX League Total], 0)</f>
        <v>20</v>
      </c>
      <c r="H18">
        <v>46.387832699619771</v>
      </c>
      <c r="I18" s="4">
        <v>56.834532374100718</v>
      </c>
      <c r="J18" s="10">
        <f>INTWAG[[#This Row],[BB Comp 1]]+INTWAG[[#This Row],[BB Comp 2]]</f>
        <v>103.22236507372048</v>
      </c>
      <c r="K18" s="6">
        <f>RANK(INTWAG[[#This Row],[BB League Total]],INTWAG[BB League Total], 0)</f>
        <v>13</v>
      </c>
      <c r="L18">
        <v>0</v>
      </c>
      <c r="M18">
        <v>0</v>
      </c>
      <c r="N18" s="10">
        <f>INTWAG[[#This Row],[UB Comp 1]]+INTWAG[[#This Row],[UB Comp 2]]</f>
        <v>0</v>
      </c>
      <c r="O18" s="6">
        <f>RANK(INTWAG[[#This Row],[UB League Total]],INTWAG[UB League Total], 0)</f>
        <v>20</v>
      </c>
      <c r="P18">
        <v>82.993197278911566</v>
      </c>
      <c r="Q18">
        <v>78.71621621621621</v>
      </c>
      <c r="R18" s="10">
        <f>INTWAG[[#This Row],[VT Comp 1]]+INTWAG[[#This Row],[VT Comp 2]]</f>
        <v>161.70941349512776</v>
      </c>
      <c r="S18" s="6">
        <f>RANK(INTWAG[[#This Row],[VT League Total]],INTWAG[VT League Total], 0)</f>
        <v>13</v>
      </c>
      <c r="T18">
        <v>71.088861076345424</v>
      </c>
      <c r="U18">
        <v>74.595267745952668</v>
      </c>
      <c r="V18" s="10">
        <f>INTWAG[[#This Row],[AA Comp 1]]+INTWAG[[#This Row],[AA Comp 2]]</f>
        <v>145.68412882229808</v>
      </c>
      <c r="W18" s="6">
        <f>RANK(INTWAG[[#This Row],[AA League Total]],INTWAG[AA League Total], 0)</f>
        <v>17</v>
      </c>
    </row>
    <row r="19" spans="1:23" x14ac:dyDescent="0.2">
      <c r="A19" s="1"/>
      <c r="B19" t="s">
        <v>52</v>
      </c>
      <c r="C19" t="s">
        <v>169</v>
      </c>
      <c r="D19">
        <v>82.978723404255319</v>
      </c>
      <c r="E19">
        <v>91.970802919708035</v>
      </c>
      <c r="F19" s="10">
        <f>INTWAG[[#This Row],[FX Comp 1]]+INTWAG[[#This Row],[FX Comp 2]]</f>
        <v>174.94952632396337</v>
      </c>
      <c r="G19" s="6">
        <f>RANK(INTWAG[[#This Row],[FX League Total]],INTWAG[FX League Total], 0)</f>
        <v>7</v>
      </c>
      <c r="H19">
        <v>63.117870722433466</v>
      </c>
      <c r="I19">
        <v>0</v>
      </c>
      <c r="J19" s="10">
        <f>INTWAG[[#This Row],[BB Comp 1]]+INTWAG[[#This Row],[BB Comp 2]]</f>
        <v>63.117870722433466</v>
      </c>
      <c r="K19" s="6">
        <f>RANK(INTWAG[[#This Row],[BB League Total]],INTWAG[BB League Total], 0)</f>
        <v>34</v>
      </c>
      <c r="L19">
        <v>0</v>
      </c>
      <c r="M19" s="4">
        <v>92.372881355932208</v>
      </c>
      <c r="N19" s="10">
        <f>INTWAG[[#This Row],[UB Comp 1]]+INTWAG[[#This Row],[UB Comp 2]]</f>
        <v>92.372881355932208</v>
      </c>
      <c r="O19" s="6">
        <f>RANK(INTWAG[[#This Row],[UB League Total]],INTWAG[UB League Total], 0)</f>
        <v>13</v>
      </c>
      <c r="P19">
        <v>85.714285714285722</v>
      </c>
      <c r="Q19">
        <v>0</v>
      </c>
      <c r="R19" s="10">
        <f>INTWAG[[#This Row],[VT Comp 1]]+INTWAG[[#This Row],[VT Comp 2]]</f>
        <v>85.714285714285722</v>
      </c>
      <c r="S19" s="6">
        <f>RANK(INTWAG[[#This Row],[VT League Total]],INTWAG[VT League Total], 0)</f>
        <v>45</v>
      </c>
      <c r="T19">
        <v>81.602002503128915</v>
      </c>
      <c r="U19">
        <v>58.530510585305109</v>
      </c>
      <c r="V19" s="10">
        <f>INTWAG[[#This Row],[AA Comp 1]]+INTWAG[[#This Row],[AA Comp 2]]</f>
        <v>140.13251308843402</v>
      </c>
      <c r="W19" s="6">
        <f>RANK(INTWAG[[#This Row],[AA League Total]],INTWAG[AA League Total], 0)</f>
        <v>18</v>
      </c>
    </row>
    <row r="20" spans="1:23" x14ac:dyDescent="0.2">
      <c r="A20" s="1"/>
      <c r="B20" t="s">
        <v>52</v>
      </c>
      <c r="C20" t="s">
        <v>167</v>
      </c>
      <c r="D20" s="4">
        <v>82.978723404255319</v>
      </c>
      <c r="E20" s="4">
        <v>81.751824817518241</v>
      </c>
      <c r="F20" s="10">
        <f>INTWAG[[#This Row],[FX Comp 1]]+INTWAG[[#This Row],[FX Comp 2]]</f>
        <v>164.73054822177357</v>
      </c>
      <c r="G20" s="6">
        <f>RANK(INTWAG[[#This Row],[FX League Total]],INTWAG[FX League Total], 0)</f>
        <v>13</v>
      </c>
      <c r="H20" s="4">
        <v>69.961977186311771</v>
      </c>
      <c r="I20">
        <v>77.697841726618705</v>
      </c>
      <c r="J20" s="10">
        <f>INTWAG[[#This Row],[BB Comp 1]]+INTWAG[[#This Row],[BB Comp 2]]</f>
        <v>147.65981891293046</v>
      </c>
      <c r="K20" s="6">
        <f>RANK(INTWAG[[#This Row],[BB League Total]],INTWAG[BB League Total], 0)</f>
        <v>8</v>
      </c>
      <c r="L20" s="4">
        <v>0</v>
      </c>
      <c r="M20" s="4">
        <v>0</v>
      </c>
      <c r="N20" s="10">
        <f>INTWAG[[#This Row],[UB Comp 1]]+INTWAG[[#This Row],[UB Comp 2]]</f>
        <v>0</v>
      </c>
      <c r="O20" s="6">
        <f>RANK(INTWAG[[#This Row],[UB League Total]],INTWAG[UB League Total], 0)</f>
        <v>20</v>
      </c>
      <c r="P20" s="4">
        <v>0</v>
      </c>
      <c r="Q20" s="4">
        <v>78.040540540540533</v>
      </c>
      <c r="R20" s="10">
        <f>INTWAG[[#This Row],[VT Comp 1]]+INTWAG[[#This Row],[VT Comp 2]]</f>
        <v>78.040540540540533</v>
      </c>
      <c r="S20" s="6">
        <f>RANK(INTWAG[[#This Row],[VT League Total]],INTWAG[VT League Total], 0)</f>
        <v>56</v>
      </c>
      <c r="T20" s="4">
        <v>52.315394242803492</v>
      </c>
      <c r="U20" s="4">
        <v>83.561643835616437</v>
      </c>
      <c r="V20" s="10">
        <f>INTWAG[[#This Row],[AA Comp 1]]+INTWAG[[#This Row],[AA Comp 2]]</f>
        <v>135.87703807841993</v>
      </c>
      <c r="W20" s="6">
        <f>RANK(INTWAG[[#This Row],[AA League Total]],INTWAG[AA League Total], 0)</f>
        <v>19</v>
      </c>
    </row>
    <row r="21" spans="1:23" x14ac:dyDescent="0.2">
      <c r="A21" s="1"/>
      <c r="B21" t="s">
        <v>50</v>
      </c>
      <c r="C21" t="s">
        <v>185</v>
      </c>
      <c r="D21" s="4">
        <v>73.758865248226954</v>
      </c>
      <c r="E21" s="4">
        <v>78.832116788321173</v>
      </c>
      <c r="F21" s="10">
        <f>INTWAG[[#This Row],[FX Comp 1]]+INTWAG[[#This Row],[FX Comp 2]]</f>
        <v>152.59098203654813</v>
      </c>
      <c r="G21" s="6">
        <f>RANK(INTWAG[[#This Row],[FX League Total]],INTWAG[FX League Total], 0)</f>
        <v>17</v>
      </c>
      <c r="H21" s="4">
        <v>84.410646387832699</v>
      </c>
      <c r="I21" s="4">
        <v>66.187050359712217</v>
      </c>
      <c r="J21" s="10">
        <f>INTWAG[[#This Row],[BB Comp 1]]+INTWAG[[#This Row],[BB Comp 2]]</f>
        <v>150.59769674754492</v>
      </c>
      <c r="K21" s="6">
        <f>RANK(INTWAG[[#This Row],[BB League Total]],INTWAG[BB League Total], 0)</f>
        <v>7</v>
      </c>
      <c r="L21" s="4">
        <v>0</v>
      </c>
      <c r="M21" s="4">
        <v>0</v>
      </c>
      <c r="N21" s="10">
        <f>INTWAG[[#This Row],[UB Comp 1]]+INTWAG[[#This Row],[UB Comp 2]]</f>
        <v>0</v>
      </c>
      <c r="O21" s="6">
        <f>RANK(INTWAG[[#This Row],[UB League Total]],INTWAG[UB League Total], 0)</f>
        <v>20</v>
      </c>
      <c r="P21" s="4">
        <v>81.292517006802726</v>
      </c>
      <c r="Q21" s="4">
        <v>0</v>
      </c>
      <c r="R21" s="10">
        <f>INTWAG[[#This Row],[VT Comp 1]]+INTWAG[[#This Row],[VT Comp 2]]</f>
        <v>81.292517006802726</v>
      </c>
      <c r="S21" s="6">
        <f>RANK(INTWAG[[#This Row],[VT League Total]],INTWAG[VT League Total], 0)</f>
        <v>52</v>
      </c>
      <c r="T21" s="4">
        <v>83.729662077596998</v>
      </c>
      <c r="U21" s="4">
        <v>49.813200498132005</v>
      </c>
      <c r="V21" s="10">
        <f>INTWAG[[#This Row],[AA Comp 1]]+INTWAG[[#This Row],[AA Comp 2]]</f>
        <v>133.542862575729</v>
      </c>
      <c r="W21" s="6">
        <f>RANK(INTWAG[[#This Row],[AA League Total]],INTWAG[AA League Total], 0)</f>
        <v>20</v>
      </c>
    </row>
    <row r="22" spans="1:23" x14ac:dyDescent="0.2">
      <c r="A22" s="1"/>
      <c r="B22" t="s">
        <v>79</v>
      </c>
      <c r="C22" t="s">
        <v>160</v>
      </c>
      <c r="D22" s="4">
        <v>78.723404255319153</v>
      </c>
      <c r="E22" s="4">
        <v>81.021897810218974</v>
      </c>
      <c r="F22" s="10">
        <f>INTWAG[[#This Row],[FX Comp 1]]+INTWAG[[#This Row],[FX Comp 2]]</f>
        <v>159.74530206553811</v>
      </c>
      <c r="G22" s="6">
        <f>RANK(INTWAG[[#This Row],[FX League Total]],INTWAG[FX League Total], 0)</f>
        <v>15</v>
      </c>
      <c r="H22" s="4">
        <v>0</v>
      </c>
      <c r="I22" s="4">
        <v>0</v>
      </c>
      <c r="J22" s="10">
        <f>INTWAG[[#This Row],[BB Comp 1]]+INTWAG[[#This Row],[BB Comp 2]]</f>
        <v>0</v>
      </c>
      <c r="K22" s="6">
        <f>RANK(INTWAG[[#This Row],[BB League Total]],INTWAG[BB League Total], 0)</f>
        <v>47</v>
      </c>
      <c r="L22" s="4">
        <v>0</v>
      </c>
      <c r="M22" s="4">
        <v>0</v>
      </c>
      <c r="N22" s="10">
        <f>INTWAG[[#This Row],[UB Comp 1]]+INTWAG[[#This Row],[UB Comp 2]]</f>
        <v>0</v>
      </c>
      <c r="O22" s="6">
        <f>RANK(INTWAG[[#This Row],[UB League Total]],INTWAG[UB League Total], 0)</f>
        <v>20</v>
      </c>
      <c r="P22" s="4">
        <v>85.034013605442183</v>
      </c>
      <c r="Q22" s="4">
        <v>85.472972972972968</v>
      </c>
      <c r="R22" s="10">
        <f>INTWAG[[#This Row],[VT Comp 1]]+INTWAG[[#This Row],[VT Comp 2]]</f>
        <v>170.50698657841514</v>
      </c>
      <c r="S22" s="6">
        <f>RANK(INTWAG[[#This Row],[VT League Total]],INTWAG[VT League Total], 0)</f>
        <v>10</v>
      </c>
      <c r="T22" s="4">
        <v>59.073842302878596</v>
      </c>
      <c r="U22" s="4">
        <v>59.153175591531756</v>
      </c>
      <c r="V22" s="10">
        <f>INTWAG[[#This Row],[AA Comp 1]]+INTWAG[[#This Row],[AA Comp 2]]</f>
        <v>118.22701789441035</v>
      </c>
      <c r="W22" s="6">
        <f>RANK(INTWAG[[#This Row],[AA League Total]],INTWAG[AA League Total], 0)</f>
        <v>21</v>
      </c>
    </row>
    <row r="23" spans="1:23" x14ac:dyDescent="0.2">
      <c r="A23" s="1"/>
      <c r="B23" t="s">
        <v>79</v>
      </c>
      <c r="C23" t="s">
        <v>159</v>
      </c>
      <c r="D23" s="4">
        <v>86.524822695035454</v>
      </c>
      <c r="F23" s="10">
        <f>INTWAG[[#This Row],[FX Comp 1]]+INTWAG[[#This Row],[FX Comp 2]]</f>
        <v>86.524822695035454</v>
      </c>
      <c r="G23" s="6">
        <f>RANK(INTWAG[[#This Row],[FX League Total]],INTWAG[FX League Total], 0)</f>
        <v>37</v>
      </c>
      <c r="H23" s="4">
        <v>100</v>
      </c>
      <c r="J23" s="10">
        <f>INTWAG[[#This Row],[BB Comp 1]]+INTWAG[[#This Row],[BB Comp 2]]</f>
        <v>100</v>
      </c>
      <c r="K23" s="6">
        <f>RANK(INTWAG[[#This Row],[BB League Total]],INTWAG[BB League Total], 0)</f>
        <v>14</v>
      </c>
      <c r="L23" s="4">
        <v>0</v>
      </c>
      <c r="N23" s="10">
        <f>INTWAG[[#This Row],[UB Comp 1]]+INTWAG[[#This Row],[UB Comp 2]]</f>
        <v>0</v>
      </c>
      <c r="O23" s="6">
        <f>RANK(INTWAG[[#This Row],[UB League Total]],INTWAG[UB League Total], 0)</f>
        <v>20</v>
      </c>
      <c r="P23" s="4">
        <v>99.319727891156461</v>
      </c>
      <c r="R23" s="10">
        <f>INTWAG[[#This Row],[VT Comp 1]]+INTWAG[[#This Row],[VT Comp 2]]</f>
        <v>99.319727891156461</v>
      </c>
      <c r="S23" s="6">
        <f>RANK(INTWAG[[#This Row],[VT League Total]],INTWAG[VT League Total], 0)</f>
        <v>19</v>
      </c>
      <c r="T23" s="4">
        <v>100</v>
      </c>
      <c r="V23" s="10">
        <f>INTWAG[[#This Row],[AA Comp 1]]+INTWAG[[#This Row],[AA Comp 2]]</f>
        <v>100</v>
      </c>
      <c r="W23" s="6">
        <f>RANK(INTWAG[[#This Row],[AA League Total]],INTWAG[AA League Total], 0)</f>
        <v>22</v>
      </c>
    </row>
    <row r="24" spans="1:23" x14ac:dyDescent="0.2">
      <c r="A24" s="1"/>
      <c r="B24" t="s">
        <v>78</v>
      </c>
      <c r="C24" t="s">
        <v>151</v>
      </c>
      <c r="D24" s="4">
        <v>92.198581560283685</v>
      </c>
      <c r="F24" s="10">
        <f>INTWAG[[#This Row],[FX Comp 1]]+INTWAG[[#This Row],[FX Comp 2]]</f>
        <v>92.198581560283685</v>
      </c>
      <c r="G24" s="6">
        <f>RANK(INTWAG[[#This Row],[FX League Total]],INTWAG[FX League Total], 0)</f>
        <v>28</v>
      </c>
      <c r="H24" s="4">
        <v>95.057034220532316</v>
      </c>
      <c r="J24" s="10">
        <f>INTWAG[[#This Row],[BB Comp 1]]+INTWAG[[#This Row],[BB Comp 2]]</f>
        <v>95.057034220532316</v>
      </c>
      <c r="K24" s="6">
        <f>RANK(INTWAG[[#This Row],[BB League Total]],INTWAG[BB League Total], 0)</f>
        <v>16</v>
      </c>
      <c r="L24" s="4">
        <v>0</v>
      </c>
      <c r="M24" s="4">
        <v>99.152542372881342</v>
      </c>
      <c r="N24" s="10">
        <f>INTWAG[[#This Row],[UB Comp 1]]+INTWAG[[#This Row],[UB Comp 2]]</f>
        <v>99.152542372881342</v>
      </c>
      <c r="O24" s="6">
        <f>RANK(INTWAG[[#This Row],[UB League Total]],INTWAG[UB League Total], 0)</f>
        <v>8</v>
      </c>
      <c r="P24" s="4">
        <v>97.61904761904762</v>
      </c>
      <c r="R24" s="10">
        <f>INTWAG[[#This Row],[VT Comp 1]]+INTWAG[[#This Row],[VT Comp 2]]</f>
        <v>97.61904761904762</v>
      </c>
      <c r="S24" s="6">
        <f>RANK(INTWAG[[#This Row],[VT League Total]],INTWAG[VT League Total], 0)</f>
        <v>23</v>
      </c>
      <c r="T24" s="4">
        <v>99.749687108886107</v>
      </c>
      <c r="V24" s="10">
        <f>INTWAG[[#This Row],[AA Comp 1]]+INTWAG[[#This Row],[AA Comp 2]]</f>
        <v>99.749687108886107</v>
      </c>
      <c r="W24" s="6">
        <f>RANK(INTWAG[[#This Row],[AA League Total]],INTWAG[AA League Total], 0)</f>
        <v>23</v>
      </c>
    </row>
    <row r="25" spans="1:23" x14ac:dyDescent="0.2">
      <c r="A25" s="1"/>
      <c r="B25" t="s">
        <v>64</v>
      </c>
      <c r="C25" t="s">
        <v>149</v>
      </c>
      <c r="D25" s="4">
        <v>90.070921985815602</v>
      </c>
      <c r="F25" s="10">
        <f>INTWAG[[#This Row],[FX Comp 1]]+INTWAG[[#This Row],[FX Comp 2]]</f>
        <v>90.070921985815602</v>
      </c>
      <c r="G25" s="6">
        <f>RANK(INTWAG[[#This Row],[FX League Total]],INTWAG[FX League Total], 0)</f>
        <v>31</v>
      </c>
      <c r="H25" s="4">
        <v>0</v>
      </c>
      <c r="J25" s="10">
        <f>INTWAG[[#This Row],[BB Comp 1]]+INTWAG[[#This Row],[BB Comp 2]]</f>
        <v>0</v>
      </c>
      <c r="K25" s="6">
        <f>RANK(INTWAG[[#This Row],[BB League Total]],INTWAG[BB League Total], 0)</f>
        <v>47</v>
      </c>
      <c r="L25" s="4">
        <v>100</v>
      </c>
      <c r="N25" s="10">
        <f>INTWAG[[#This Row],[UB Comp 1]]+INTWAG[[#This Row],[UB Comp 2]]</f>
        <v>100</v>
      </c>
      <c r="O25" s="6">
        <f>RANK(INTWAG[[#This Row],[UB League Total]],INTWAG[UB League Total], 0)</f>
        <v>7</v>
      </c>
      <c r="P25" s="4">
        <v>98.979591836734699</v>
      </c>
      <c r="R25" s="10">
        <f>INTWAG[[#This Row],[VT Comp 1]]+INTWAG[[#This Row],[VT Comp 2]]</f>
        <v>98.979591836734699</v>
      </c>
      <c r="S25" s="6">
        <f>RANK(INTWAG[[#This Row],[VT League Total]],INTWAG[VT League Total], 0)</f>
        <v>20</v>
      </c>
      <c r="T25" s="4">
        <v>98.998748435544414</v>
      </c>
      <c r="V25" s="10">
        <f>INTWAG[[#This Row],[AA Comp 1]]+INTWAG[[#This Row],[AA Comp 2]]</f>
        <v>98.998748435544414</v>
      </c>
      <c r="W25" s="6">
        <f>RANK(INTWAG[[#This Row],[AA League Total]],INTWAG[AA League Total], 0)</f>
        <v>24</v>
      </c>
    </row>
    <row r="26" spans="1:23" x14ac:dyDescent="0.2">
      <c r="A26" s="8"/>
      <c r="B26" t="s">
        <v>42</v>
      </c>
      <c r="C26" t="s">
        <v>284</v>
      </c>
      <c r="D26"/>
      <c r="E26">
        <v>98.540145985401452</v>
      </c>
      <c r="F26" s="10">
        <f>INTWAG[[#This Row],[FX Comp 1]]+INTWAG[[#This Row],[FX Comp 2]]</f>
        <v>98.540145985401452</v>
      </c>
      <c r="G26" s="6">
        <f>RANK(INTWAG[[#This Row],[FX League Total]],INTWAG[FX League Total], 0)</f>
        <v>24</v>
      </c>
      <c r="H26"/>
      <c r="I26" s="4">
        <v>84.172661870503589</v>
      </c>
      <c r="J26" s="10">
        <f>INTWAG[[#This Row],[BB Comp 1]]+INTWAG[[#This Row],[BB Comp 2]]</f>
        <v>84.172661870503589</v>
      </c>
      <c r="K26" s="6">
        <f>RANK(INTWAG[[#This Row],[BB League Total]],INTWAG[BB League Total], 0)</f>
        <v>22</v>
      </c>
      <c r="L26"/>
      <c r="M26">
        <v>0</v>
      </c>
      <c r="N26" s="10">
        <f>INTWAG[[#This Row],[UB Comp 1]]+INTWAG[[#This Row],[UB Comp 2]]</f>
        <v>0</v>
      </c>
      <c r="O26" s="6">
        <f>RANK(INTWAG[[#This Row],[UB League Total]],INTWAG[UB League Total], 0)</f>
        <v>20</v>
      </c>
      <c r="P26"/>
      <c r="Q26">
        <v>97.972972972972968</v>
      </c>
      <c r="R26" s="10">
        <f>INTWAG[[#This Row],[VT Comp 1]]+INTWAG[[#This Row],[VT Comp 2]]</f>
        <v>97.972972972972968</v>
      </c>
      <c r="S26" s="6">
        <f>RANK(INTWAG[[#This Row],[VT League Total]],INTWAG[VT League Total], 0)</f>
        <v>21</v>
      </c>
      <c r="T26"/>
      <c r="U26">
        <v>98.879202988792031</v>
      </c>
      <c r="V26" s="10">
        <f>INTWAG[[#This Row],[AA Comp 1]]+INTWAG[[#This Row],[AA Comp 2]]</f>
        <v>98.879202988792031</v>
      </c>
      <c r="W26" s="6">
        <f>RANK(INTWAG[[#This Row],[AA League Total]],INTWAG[AA League Total], 0)</f>
        <v>25</v>
      </c>
    </row>
    <row r="27" spans="1:23" x14ac:dyDescent="0.2">
      <c r="A27" s="8"/>
      <c r="B27" t="s">
        <v>42</v>
      </c>
      <c r="C27" t="s">
        <v>278</v>
      </c>
      <c r="D27"/>
      <c r="E27">
        <v>97.810218978102185</v>
      </c>
      <c r="F27" s="10">
        <f>INTWAG[[#This Row],[FX Comp 1]]+INTWAG[[#This Row],[FX Comp 2]]</f>
        <v>97.810218978102185</v>
      </c>
      <c r="G27" s="6">
        <f>RANK(INTWAG[[#This Row],[FX League Total]],INTWAG[FX League Total], 0)</f>
        <v>25</v>
      </c>
      <c r="H27"/>
      <c r="I27">
        <v>0</v>
      </c>
      <c r="J27" s="10">
        <f>INTWAG[[#This Row],[BB Comp 1]]+INTWAG[[#This Row],[BB Comp 2]]</f>
        <v>0</v>
      </c>
      <c r="K27" s="6">
        <f>RANK(INTWAG[[#This Row],[BB League Total]],INTWAG[BB League Total], 0)</f>
        <v>47</v>
      </c>
      <c r="L27"/>
      <c r="M27">
        <v>99.152542372881342</v>
      </c>
      <c r="N27" s="10">
        <f>INTWAG[[#This Row],[UB Comp 1]]+INTWAG[[#This Row],[UB Comp 2]]</f>
        <v>99.152542372881342</v>
      </c>
      <c r="O27" s="6">
        <f>RANK(INTWAG[[#This Row],[UB League Total]],INTWAG[UB League Total], 0)</f>
        <v>8</v>
      </c>
      <c r="P27"/>
      <c r="Q27">
        <v>95.945945945945937</v>
      </c>
      <c r="R27" s="10">
        <f>INTWAG[[#This Row],[VT Comp 1]]+INTWAG[[#This Row],[VT Comp 2]]</f>
        <v>95.945945945945937</v>
      </c>
      <c r="S27" s="6">
        <f>RANK(INTWAG[[#This Row],[VT League Total]],INTWAG[VT League Total], 0)</f>
        <v>27</v>
      </c>
      <c r="T27"/>
      <c r="U27">
        <v>97.882938978829387</v>
      </c>
      <c r="V27" s="10">
        <f>INTWAG[[#This Row],[AA Comp 1]]+INTWAG[[#This Row],[AA Comp 2]]</f>
        <v>97.882938978829387</v>
      </c>
      <c r="W27" s="6">
        <f>RANK(INTWAG[[#This Row],[AA League Total]],INTWAG[AA League Total], 0)</f>
        <v>26</v>
      </c>
    </row>
    <row r="28" spans="1:23" x14ac:dyDescent="0.2">
      <c r="A28" s="1"/>
      <c r="B28" t="s">
        <v>51</v>
      </c>
      <c r="C28" t="s">
        <v>181</v>
      </c>
      <c r="D28" s="4">
        <v>52.482269503546107</v>
      </c>
      <c r="E28" s="4">
        <v>0</v>
      </c>
      <c r="F28" s="10">
        <f>INTWAG[[#This Row],[FX Comp 1]]+INTWAG[[#This Row],[FX Comp 2]]</f>
        <v>52.482269503546107</v>
      </c>
      <c r="G28" s="6">
        <f>RANK(INTWAG[[#This Row],[FX League Total]],INTWAG[FX League Total], 0)</f>
        <v>69</v>
      </c>
      <c r="H28" s="4">
        <v>44.866920152091254</v>
      </c>
      <c r="I28" s="4">
        <v>0</v>
      </c>
      <c r="J28" s="10">
        <f>INTWAG[[#This Row],[BB Comp 1]]+INTWAG[[#This Row],[BB Comp 2]]</f>
        <v>44.866920152091254</v>
      </c>
      <c r="K28" s="6">
        <f>RANK(INTWAG[[#This Row],[BB League Total]],INTWAG[BB League Total], 0)</f>
        <v>41</v>
      </c>
      <c r="L28" s="4">
        <v>0</v>
      </c>
      <c r="M28" s="4">
        <v>0</v>
      </c>
      <c r="N28" s="10">
        <f>INTWAG[[#This Row],[UB Comp 1]]+INTWAG[[#This Row],[UB Comp 2]]</f>
        <v>0</v>
      </c>
      <c r="O28" s="6">
        <f>RANK(INTWAG[[#This Row],[UB League Total]],INTWAG[UB League Total], 0)</f>
        <v>20</v>
      </c>
      <c r="P28" s="4">
        <v>91.83673469387756</v>
      </c>
      <c r="Q28" s="4">
        <v>81.756756756756758</v>
      </c>
      <c r="R28" s="10">
        <f>INTWAG[[#This Row],[VT Comp 1]]+INTWAG[[#This Row],[VT Comp 2]]</f>
        <v>173.5934914506343</v>
      </c>
      <c r="S28" s="6">
        <f>RANK(INTWAG[[#This Row],[VT League Total]],INTWAG[VT League Total], 0)</f>
        <v>9</v>
      </c>
      <c r="T28" s="4">
        <v>67.08385481852315</v>
      </c>
      <c r="U28" s="4">
        <v>30.136986301369863</v>
      </c>
      <c r="V28" s="10">
        <f>INTWAG[[#This Row],[AA Comp 1]]+INTWAG[[#This Row],[AA Comp 2]]</f>
        <v>97.220841119893009</v>
      </c>
      <c r="W28" s="6">
        <f>RANK(INTWAG[[#This Row],[AA League Total]],INTWAG[AA League Total], 0)</f>
        <v>27</v>
      </c>
    </row>
    <row r="29" spans="1:23" x14ac:dyDescent="0.2">
      <c r="A29" s="8"/>
      <c r="B29" t="s">
        <v>64</v>
      </c>
      <c r="C29" t="s">
        <v>293</v>
      </c>
      <c r="D29"/>
      <c r="E29">
        <v>94.890510948905103</v>
      </c>
      <c r="F29" s="10">
        <f>INTWAG[[#This Row],[FX Comp 1]]+INTWAG[[#This Row],[FX Comp 2]]</f>
        <v>94.890510948905103</v>
      </c>
      <c r="G29" s="6">
        <f>RANK(INTWAG[[#This Row],[FX League Total]],INTWAG[FX League Total], 0)</f>
        <v>27</v>
      </c>
      <c r="H29"/>
      <c r="I29" s="4">
        <v>94.24460431654677</v>
      </c>
      <c r="J29" s="10">
        <f>INTWAG[[#This Row],[BB Comp 1]]+INTWAG[[#This Row],[BB Comp 2]]</f>
        <v>94.24460431654677</v>
      </c>
      <c r="K29" s="6">
        <f>RANK(INTWAG[[#This Row],[BB League Total]],INTWAG[BB League Total], 0)</f>
        <v>17</v>
      </c>
      <c r="L29"/>
      <c r="M29">
        <v>0</v>
      </c>
      <c r="N29" s="10">
        <f>INTWAG[[#This Row],[UB Comp 1]]+INTWAG[[#This Row],[UB Comp 2]]</f>
        <v>0</v>
      </c>
      <c r="O29" s="6">
        <f>RANK(INTWAG[[#This Row],[UB League Total]],INTWAG[UB League Total], 0)</f>
        <v>20</v>
      </c>
      <c r="P29"/>
      <c r="Q29">
        <v>86.486486486486484</v>
      </c>
      <c r="R29" s="10">
        <f>INTWAG[[#This Row],[VT Comp 1]]+INTWAG[[#This Row],[VT Comp 2]]</f>
        <v>86.486486486486484</v>
      </c>
      <c r="S29" s="6">
        <f>RANK(INTWAG[[#This Row],[VT League Total]],INTWAG[VT League Total], 0)</f>
        <v>44</v>
      </c>
      <c r="T29"/>
      <c r="U29">
        <v>96.886674968866771</v>
      </c>
      <c r="V29" s="10">
        <f>INTWAG[[#This Row],[AA Comp 1]]+INTWAG[[#This Row],[AA Comp 2]]</f>
        <v>96.886674968866771</v>
      </c>
      <c r="W29" s="6">
        <f>RANK(INTWAG[[#This Row],[AA League Total]],INTWAG[AA League Total], 0)</f>
        <v>28</v>
      </c>
    </row>
    <row r="30" spans="1:23" x14ac:dyDescent="0.2">
      <c r="A30" s="8"/>
      <c r="B30" t="s">
        <v>51</v>
      </c>
      <c r="C30" t="s">
        <v>283</v>
      </c>
      <c r="D30"/>
      <c r="E30">
        <v>81.021897810218974</v>
      </c>
      <c r="F30" s="10">
        <f>INTWAG[[#This Row],[FX Comp 1]]+INTWAG[[#This Row],[FX Comp 2]]</f>
        <v>81.021897810218974</v>
      </c>
      <c r="G30" s="6">
        <f>RANK(INTWAG[[#This Row],[FX League Total]],INTWAG[FX League Total], 0)</f>
        <v>49</v>
      </c>
      <c r="H30"/>
      <c r="I30" s="4">
        <v>96.402877697841731</v>
      </c>
      <c r="J30" s="10">
        <f>INTWAG[[#This Row],[BB Comp 1]]+INTWAG[[#This Row],[BB Comp 2]]</f>
        <v>96.402877697841731</v>
      </c>
      <c r="K30" s="6">
        <f>RANK(INTWAG[[#This Row],[BB League Total]],INTWAG[BB League Total], 0)</f>
        <v>15</v>
      </c>
      <c r="L30"/>
      <c r="M30">
        <v>0</v>
      </c>
      <c r="N30" s="10">
        <f>INTWAG[[#This Row],[UB Comp 1]]+INTWAG[[#This Row],[UB Comp 2]]</f>
        <v>0</v>
      </c>
      <c r="O30" s="6">
        <f>RANK(INTWAG[[#This Row],[UB League Total]],INTWAG[UB League Total], 0)</f>
        <v>20</v>
      </c>
      <c r="P30"/>
      <c r="Q30">
        <v>96.621621621621628</v>
      </c>
      <c r="R30" s="10">
        <f>INTWAG[[#This Row],[VT Comp 1]]+INTWAG[[#This Row],[VT Comp 2]]</f>
        <v>96.621621621621628</v>
      </c>
      <c r="S30" s="6">
        <f>RANK(INTWAG[[#This Row],[VT League Total]],INTWAG[VT League Total], 0)</f>
        <v>26</v>
      </c>
      <c r="T30"/>
      <c r="U30">
        <v>96.637608966376092</v>
      </c>
      <c r="V30" s="10">
        <f>INTWAG[[#This Row],[AA Comp 1]]+INTWAG[[#This Row],[AA Comp 2]]</f>
        <v>96.637608966376092</v>
      </c>
      <c r="W30" s="6">
        <f>RANK(INTWAG[[#This Row],[AA League Total]],INTWAG[AA League Total], 0)</f>
        <v>29</v>
      </c>
    </row>
    <row r="31" spans="1:23" x14ac:dyDescent="0.2">
      <c r="A31" s="1"/>
      <c r="B31" t="s">
        <v>42</v>
      </c>
      <c r="C31" t="s">
        <v>175</v>
      </c>
      <c r="D31">
        <v>0</v>
      </c>
      <c r="E31">
        <v>63.503649635036496</v>
      </c>
      <c r="F31" s="10">
        <f>INTWAG[[#This Row],[FX Comp 1]]+INTWAG[[#This Row],[FX Comp 2]]</f>
        <v>63.503649635036496</v>
      </c>
      <c r="G31" s="6">
        <f>RANK(INTWAG[[#This Row],[FX League Total]],INTWAG[FX League Total], 0)</f>
        <v>63</v>
      </c>
      <c r="H31">
        <v>0</v>
      </c>
      <c r="I31">
        <v>0</v>
      </c>
      <c r="J31" s="10">
        <f>INTWAG[[#This Row],[BB Comp 1]]+INTWAG[[#This Row],[BB Comp 2]]</f>
        <v>0</v>
      </c>
      <c r="K31" s="6">
        <f>RANK(INTWAG[[#This Row],[BB League Total]],INTWAG[BB League Total], 0)</f>
        <v>47</v>
      </c>
      <c r="L31">
        <v>91.869918699186996</v>
      </c>
      <c r="M31">
        <v>55.084745762711862</v>
      </c>
      <c r="N31" s="10">
        <f>INTWAG[[#This Row],[UB Comp 1]]+INTWAG[[#This Row],[UB Comp 2]]</f>
        <v>146.95466446189886</v>
      </c>
      <c r="O31" s="6">
        <f>RANK(INTWAG[[#This Row],[UB League Total]],INTWAG[UB League Total], 0)</f>
        <v>3</v>
      </c>
      <c r="P31">
        <v>0</v>
      </c>
      <c r="Q31">
        <v>80.067567567567565</v>
      </c>
      <c r="R31" s="10">
        <f>INTWAG[[#This Row],[VT Comp 1]]+INTWAG[[#This Row],[VT Comp 2]]</f>
        <v>80.067567567567565</v>
      </c>
      <c r="S31" s="6">
        <f>RANK(INTWAG[[#This Row],[VT League Total]],INTWAG[VT League Total], 0)</f>
        <v>53</v>
      </c>
      <c r="T31">
        <v>28.285356695869833</v>
      </c>
      <c r="U31">
        <v>67.372353673723538</v>
      </c>
      <c r="V31" s="10">
        <f>INTWAG[[#This Row],[AA Comp 1]]+INTWAG[[#This Row],[AA Comp 2]]</f>
        <v>95.657710369593374</v>
      </c>
      <c r="W31" s="6">
        <f>RANK(INTWAG[[#This Row],[AA League Total]],INTWAG[AA League Total], 0)</f>
        <v>30</v>
      </c>
    </row>
    <row r="32" spans="1:23" x14ac:dyDescent="0.2">
      <c r="A32" s="1"/>
      <c r="B32" t="s">
        <v>79</v>
      </c>
      <c r="C32" t="s">
        <v>158</v>
      </c>
      <c r="D32" s="4">
        <v>100</v>
      </c>
      <c r="F32" s="10">
        <f>INTWAG[[#This Row],[FX Comp 1]]+INTWAG[[#This Row],[FX Comp 2]]</f>
        <v>100</v>
      </c>
      <c r="G32" s="6">
        <f>RANK(INTWAG[[#This Row],[FX League Total]],INTWAG[FX League Total], 0)</f>
        <v>23</v>
      </c>
      <c r="H32" s="4">
        <v>74.904942965779469</v>
      </c>
      <c r="J32" s="10">
        <f>INTWAG[[#This Row],[BB Comp 1]]+INTWAG[[#This Row],[BB Comp 2]]</f>
        <v>74.904942965779469</v>
      </c>
      <c r="K32" s="6">
        <f>RANK(INTWAG[[#This Row],[BB League Total]],INTWAG[BB League Total], 0)</f>
        <v>29</v>
      </c>
      <c r="L32" s="4">
        <v>0</v>
      </c>
      <c r="N32" s="10">
        <f>INTWAG[[#This Row],[UB Comp 1]]+INTWAG[[#This Row],[UB Comp 2]]</f>
        <v>0</v>
      </c>
      <c r="O32" s="6">
        <f>RANK(INTWAG[[#This Row],[UB League Total]],INTWAG[UB League Total], 0)</f>
        <v>20</v>
      </c>
      <c r="P32" s="4">
        <v>95.578231292517017</v>
      </c>
      <c r="R32" s="10">
        <f>INTWAG[[#This Row],[VT Comp 1]]+INTWAG[[#This Row],[VT Comp 2]]</f>
        <v>95.578231292517017</v>
      </c>
      <c r="S32" s="6">
        <f>RANK(INTWAG[[#This Row],[VT League Total]],INTWAG[VT League Total], 0)</f>
        <v>29</v>
      </c>
      <c r="T32" s="4">
        <v>95.118898623279094</v>
      </c>
      <c r="V32" s="10">
        <f>INTWAG[[#This Row],[AA Comp 1]]+INTWAG[[#This Row],[AA Comp 2]]</f>
        <v>95.118898623279094</v>
      </c>
      <c r="W32" s="6">
        <f>RANK(INTWAG[[#This Row],[AA League Total]],INTWAG[AA League Total], 0)</f>
        <v>31</v>
      </c>
    </row>
    <row r="33" spans="1:23" x14ac:dyDescent="0.2">
      <c r="A33" s="8"/>
      <c r="B33" t="s">
        <v>43</v>
      </c>
      <c r="C33" t="s">
        <v>282</v>
      </c>
      <c r="D33"/>
      <c r="E33">
        <v>89.78102189781022</v>
      </c>
      <c r="F33" s="10">
        <f>INTWAG[[#This Row],[FX Comp 1]]+INTWAG[[#This Row],[FX Comp 2]]</f>
        <v>89.78102189781022</v>
      </c>
      <c r="G33" s="6">
        <f>RANK(INTWAG[[#This Row],[FX League Total]],INTWAG[FX League Total], 0)</f>
        <v>32</v>
      </c>
      <c r="H33"/>
      <c r="I33" s="4">
        <v>79.856115107913666</v>
      </c>
      <c r="J33" s="10">
        <f>INTWAG[[#This Row],[BB Comp 1]]+INTWAG[[#This Row],[BB Comp 2]]</f>
        <v>79.856115107913666</v>
      </c>
      <c r="K33" s="6">
        <f>RANK(INTWAG[[#This Row],[BB League Total]],INTWAG[BB League Total], 0)</f>
        <v>27</v>
      </c>
      <c r="L33"/>
      <c r="M33">
        <v>0</v>
      </c>
      <c r="N33" s="10">
        <f>INTWAG[[#This Row],[UB Comp 1]]+INTWAG[[#This Row],[UB Comp 2]]</f>
        <v>0</v>
      </c>
      <c r="O33" s="6">
        <f>RANK(INTWAG[[#This Row],[UB League Total]],INTWAG[UB League Total], 0)</f>
        <v>20</v>
      </c>
      <c r="P33"/>
      <c r="Q33">
        <v>97.972972972972968</v>
      </c>
      <c r="R33" s="10">
        <f>INTWAG[[#This Row],[VT Comp 1]]+INTWAG[[#This Row],[VT Comp 2]]</f>
        <v>97.972972972972968</v>
      </c>
      <c r="S33" s="6">
        <f>RANK(INTWAG[[#This Row],[VT League Total]],INTWAG[VT League Total], 0)</f>
        <v>21</v>
      </c>
      <c r="T33"/>
      <c r="U33">
        <v>94.396014943960168</v>
      </c>
      <c r="V33" s="10">
        <f>INTWAG[[#This Row],[AA Comp 1]]+INTWAG[[#This Row],[AA Comp 2]]</f>
        <v>94.396014943960168</v>
      </c>
      <c r="W33" s="6">
        <f>RANK(INTWAG[[#This Row],[AA League Total]],INTWAG[AA League Total], 0)</f>
        <v>32</v>
      </c>
    </row>
    <row r="34" spans="1:23" x14ac:dyDescent="0.2">
      <c r="A34" s="8"/>
      <c r="B34" t="s">
        <v>51</v>
      </c>
      <c r="C34" t="s">
        <v>279</v>
      </c>
      <c r="D34"/>
      <c r="E34">
        <v>84.671532846715309</v>
      </c>
      <c r="F34" s="10">
        <f>INTWAG[[#This Row],[FX Comp 1]]+INTWAG[[#This Row],[FX Comp 2]]</f>
        <v>84.671532846715309</v>
      </c>
      <c r="G34" s="6">
        <f>RANK(INTWAG[[#This Row],[FX League Total]],INTWAG[FX League Total], 0)</f>
        <v>40</v>
      </c>
      <c r="H34"/>
      <c r="I34" s="19">
        <v>89.208633093525165</v>
      </c>
      <c r="J34" s="10">
        <v>89.208633093525165</v>
      </c>
      <c r="K34" s="6">
        <f>RANK(INTWAG[[#This Row],[BB League Total]],INTWAG[BB League Total], 0)</f>
        <v>19</v>
      </c>
      <c r="L34"/>
      <c r="M34">
        <v>0</v>
      </c>
      <c r="N34" s="10">
        <f>INTWAG[[#This Row],[UB Comp 1]]+INTWAG[[#This Row],[UB Comp 2]]</f>
        <v>0</v>
      </c>
      <c r="O34" s="6">
        <f>RANK(INTWAG[[#This Row],[UB League Total]],INTWAG[UB League Total], 0)</f>
        <v>20</v>
      </c>
      <c r="P34"/>
      <c r="Q34">
        <v>93.918918918918919</v>
      </c>
      <c r="R34" s="10">
        <f>INTWAG[[#This Row],[VT Comp 1]]+INTWAG[[#This Row],[VT Comp 2]]</f>
        <v>93.918918918918919</v>
      </c>
      <c r="S34" s="6">
        <f>RANK(INTWAG[[#This Row],[VT League Total]],INTWAG[VT League Total], 0)</f>
        <v>36</v>
      </c>
      <c r="T34"/>
      <c r="U34">
        <v>94.396014943960154</v>
      </c>
      <c r="V34" s="10">
        <f>INTWAG[[#This Row],[AA Comp 1]]+INTWAG[[#This Row],[AA Comp 2]]</f>
        <v>94.396014943960154</v>
      </c>
      <c r="W34" s="6">
        <f>RANK(INTWAG[[#This Row],[AA League Total]],INTWAG[AA League Total], 0)</f>
        <v>33</v>
      </c>
    </row>
    <row r="35" spans="1:23" x14ac:dyDescent="0.2">
      <c r="A35" s="8"/>
      <c r="B35" t="s">
        <v>42</v>
      </c>
      <c r="C35" t="s">
        <v>297</v>
      </c>
      <c r="D35"/>
      <c r="E35">
        <v>81.751824817518241</v>
      </c>
      <c r="F35" s="10">
        <f>INTWAG[[#This Row],[FX Comp 1]]+INTWAG[[#This Row],[FX Comp 2]]</f>
        <v>81.751824817518241</v>
      </c>
      <c r="G35" s="6">
        <f>RANK(INTWAG[[#This Row],[FX League Total]],INTWAG[FX League Total], 0)</f>
        <v>46</v>
      </c>
      <c r="H35"/>
      <c r="I35">
        <v>0</v>
      </c>
      <c r="J35" s="10">
        <f>INTWAG[[#This Row],[BB Comp 1]]+INTWAG[[#This Row],[BB Comp 2]]</f>
        <v>0</v>
      </c>
      <c r="K35" s="6">
        <f>RANK(INTWAG[[#This Row],[BB League Total]],INTWAG[BB League Total], 0)</f>
        <v>47</v>
      </c>
      <c r="L35"/>
      <c r="M35" s="19">
        <v>99.152542372881342</v>
      </c>
      <c r="N35" s="10">
        <f>INTWAG[[#This Row],[UB Comp 1]]+INTWAG[[#This Row],[UB Comp 2]]</f>
        <v>99.152542372881342</v>
      </c>
      <c r="O35" s="6">
        <f>RANK(INTWAG[[#This Row],[UB League Total]],INTWAG[UB League Total], 0)</f>
        <v>8</v>
      </c>
      <c r="P35"/>
      <c r="Q35">
        <v>99.324324324324323</v>
      </c>
      <c r="R35" s="10">
        <f>INTWAG[[#This Row],[VT Comp 1]]+INTWAG[[#This Row],[VT Comp 2]]</f>
        <v>99.324324324324323</v>
      </c>
      <c r="S35" s="6">
        <f>RANK(INTWAG[[#This Row],[VT League Total]],INTWAG[VT League Total], 0)</f>
        <v>18</v>
      </c>
      <c r="T35"/>
      <c r="U35">
        <v>93.64881693648816</v>
      </c>
      <c r="V35" s="10">
        <f>INTWAG[[#This Row],[AA Comp 1]]+INTWAG[[#This Row],[AA Comp 2]]</f>
        <v>93.64881693648816</v>
      </c>
      <c r="W35" s="6">
        <f>RANK(INTWAG[[#This Row],[AA League Total]],INTWAG[AA League Total], 0)</f>
        <v>34</v>
      </c>
    </row>
    <row r="36" spans="1:23" x14ac:dyDescent="0.2">
      <c r="A36" s="1"/>
      <c r="B36" t="s">
        <v>65</v>
      </c>
      <c r="C36" t="s">
        <v>154</v>
      </c>
      <c r="D36" s="4">
        <v>90.780141843971634</v>
      </c>
      <c r="F36" s="10">
        <f>INTWAG[[#This Row],[FX Comp 1]]+INTWAG[[#This Row],[FX Comp 2]]</f>
        <v>90.780141843971634</v>
      </c>
      <c r="G36" s="6">
        <f>RANK(INTWAG[[#This Row],[FX League Total]],INTWAG[FX League Total], 0)</f>
        <v>30</v>
      </c>
      <c r="H36" s="4">
        <v>0</v>
      </c>
      <c r="J36" s="10">
        <f>INTWAG[[#This Row],[BB Comp 1]]+INTWAG[[#This Row],[BB Comp 2]]</f>
        <v>0</v>
      </c>
      <c r="K36" s="6">
        <f>RANK(INTWAG[[#This Row],[BB League Total]],INTWAG[BB League Total], 0)</f>
        <v>47</v>
      </c>
      <c r="L36" s="4">
        <v>85.365853658536579</v>
      </c>
      <c r="N36" s="10">
        <f>INTWAG[[#This Row],[UB Comp 1]]+INTWAG[[#This Row],[UB Comp 2]]</f>
        <v>85.365853658536579</v>
      </c>
      <c r="O36" s="6">
        <f>RANK(INTWAG[[#This Row],[UB League Total]],INTWAG[UB League Total], 0)</f>
        <v>14</v>
      </c>
      <c r="P36" s="4">
        <v>95.91836734693878</v>
      </c>
      <c r="R36" s="10">
        <f>INTWAG[[#This Row],[VT Comp 1]]+INTWAG[[#This Row],[VT Comp 2]]</f>
        <v>95.91836734693878</v>
      </c>
      <c r="S36" s="6">
        <f>RANK(INTWAG[[#This Row],[VT League Total]],INTWAG[VT League Total], 0)</f>
        <v>28</v>
      </c>
      <c r="T36" s="4">
        <v>93.617021276595736</v>
      </c>
      <c r="V36" s="10">
        <f>INTWAG[[#This Row],[AA Comp 1]]+INTWAG[[#This Row],[AA Comp 2]]</f>
        <v>93.617021276595736</v>
      </c>
      <c r="W36" s="6">
        <f>RANK(INTWAG[[#This Row],[AA League Total]],INTWAG[AA League Total], 0)</f>
        <v>35</v>
      </c>
    </row>
    <row r="37" spans="1:23" x14ac:dyDescent="0.2">
      <c r="A37" s="1"/>
      <c r="B37" s="1" t="s">
        <v>103</v>
      </c>
      <c r="C37" s="1" t="s">
        <v>180</v>
      </c>
      <c r="D37" s="4">
        <v>80.851063829787236</v>
      </c>
      <c r="F37" s="10">
        <f>INTWAG[[#This Row],[FX Comp 1]]+INTWAG[[#This Row],[FX Comp 2]]</f>
        <v>80.851063829787236</v>
      </c>
      <c r="G37" s="6">
        <f>RANK(INTWAG[[#This Row],[FX League Total]],INTWAG[FX League Total], 0)</f>
        <v>51</v>
      </c>
      <c r="H37" s="4">
        <v>0</v>
      </c>
      <c r="J37" s="10">
        <f>INTWAG[[#This Row],[BB Comp 1]]+INTWAG[[#This Row],[BB Comp 2]]</f>
        <v>0</v>
      </c>
      <c r="K37" s="6">
        <f>RANK(INTWAG[[#This Row],[BB League Total]],INTWAG[BB League Total], 0)</f>
        <v>47</v>
      </c>
      <c r="L37" s="4">
        <v>93.495934959349597</v>
      </c>
      <c r="N37" s="10">
        <f>INTWAG[[#This Row],[UB Comp 1]]+INTWAG[[#This Row],[UB Comp 2]]</f>
        <v>93.495934959349597</v>
      </c>
      <c r="O37" s="6">
        <f>RANK(INTWAG[[#This Row],[UB League Total]],INTWAG[UB League Total], 0)</f>
        <v>12</v>
      </c>
      <c r="P37" s="4">
        <v>97.278911564625858</v>
      </c>
      <c r="R37" s="10">
        <f>INTWAG[[#This Row],[VT Comp 1]]+INTWAG[[#This Row],[VT Comp 2]]</f>
        <v>97.278911564625858</v>
      </c>
      <c r="S37" s="6">
        <f>RANK(INTWAG[[#This Row],[VT League Total]],INTWAG[VT League Total], 0)</f>
        <v>24</v>
      </c>
      <c r="T37" s="4">
        <v>93.116395494367964</v>
      </c>
      <c r="V37" s="10">
        <f>INTWAG[[#This Row],[AA Comp 1]]+INTWAG[[#This Row],[AA Comp 2]]</f>
        <v>93.116395494367964</v>
      </c>
      <c r="W37" s="6">
        <f>RANK(INTWAG[[#This Row],[AA League Total]],INTWAG[AA League Total], 0)</f>
        <v>36</v>
      </c>
    </row>
    <row r="38" spans="1:23" x14ac:dyDescent="0.2">
      <c r="A38" s="8"/>
      <c r="B38" t="s">
        <v>52</v>
      </c>
      <c r="C38" t="s">
        <v>289</v>
      </c>
      <c r="D38"/>
      <c r="E38">
        <v>85.40145985401459</v>
      </c>
      <c r="F38" s="10">
        <f>INTWAG[[#This Row],[FX Comp 1]]+INTWAG[[#This Row],[FX Comp 2]]</f>
        <v>85.40145985401459</v>
      </c>
      <c r="G38" s="6">
        <f>RANK(INTWAG[[#This Row],[FX League Total]],INTWAG[FX League Total], 0)</f>
        <v>39</v>
      </c>
      <c r="H38"/>
      <c r="I38" s="4">
        <v>84.172661870503589</v>
      </c>
      <c r="J38" s="10">
        <f>INTWAG[[#This Row],[BB Comp 1]]+INTWAG[[#This Row],[BB Comp 2]]</f>
        <v>84.172661870503589</v>
      </c>
      <c r="K38" s="6">
        <f>RANK(INTWAG[[#This Row],[BB League Total]],INTWAG[BB League Total], 0)</f>
        <v>22</v>
      </c>
      <c r="L38"/>
      <c r="M38">
        <v>0</v>
      </c>
      <c r="N38" s="10">
        <f>INTWAG[[#This Row],[UB Comp 1]]+INTWAG[[#This Row],[UB Comp 2]]</f>
        <v>0</v>
      </c>
      <c r="O38" s="6">
        <f>RANK(INTWAG[[#This Row],[UB League Total]],INTWAG[UB League Total], 0)</f>
        <v>20</v>
      </c>
      <c r="P38"/>
      <c r="Q38">
        <v>93.918918918918919</v>
      </c>
      <c r="R38" s="10">
        <f>INTWAG[[#This Row],[VT Comp 1]]+INTWAG[[#This Row],[VT Comp 2]]</f>
        <v>93.918918918918919</v>
      </c>
      <c r="S38" s="6">
        <f>RANK(INTWAG[[#This Row],[VT League Total]],INTWAG[VT League Total], 0)</f>
        <v>36</v>
      </c>
      <c r="T38"/>
      <c r="U38">
        <v>92.90161892901618</v>
      </c>
      <c r="V38" s="10">
        <f>INTWAG[[#This Row],[AA Comp 1]]+INTWAG[[#This Row],[AA Comp 2]]</f>
        <v>92.90161892901618</v>
      </c>
      <c r="W38" s="6">
        <f>RANK(INTWAG[[#This Row],[AA League Total]],INTWAG[AA League Total], 0)</f>
        <v>37</v>
      </c>
    </row>
    <row r="39" spans="1:23" x14ac:dyDescent="0.2">
      <c r="A39" s="8"/>
      <c r="B39" t="s">
        <v>42</v>
      </c>
      <c r="C39" s="20" t="s">
        <v>294</v>
      </c>
      <c r="D39"/>
      <c r="E39">
        <v>84.671532846715309</v>
      </c>
      <c r="F39" s="10">
        <f>INTWAG[[#This Row],[FX Comp 1]]+INTWAG[[#This Row],[FX Comp 2]]</f>
        <v>84.671532846715309</v>
      </c>
      <c r="G39" s="6">
        <f>RANK(INTWAG[[#This Row],[FX League Total]],INTWAG[FX League Total], 0)</f>
        <v>40</v>
      </c>
      <c r="H39"/>
      <c r="I39" s="4">
        <v>72.661870503597115</v>
      </c>
      <c r="J39" s="10">
        <f>INTWAG[[#This Row],[BB Comp 1]]+INTWAG[[#This Row],[BB Comp 2]]</f>
        <v>72.661870503597115</v>
      </c>
      <c r="K39" s="6">
        <f>RANK(INTWAG[[#This Row],[BB League Total]],INTWAG[BB League Total], 0)</f>
        <v>31</v>
      </c>
      <c r="L39"/>
      <c r="M39">
        <v>0</v>
      </c>
      <c r="N39" s="10">
        <f>INTWAG[[#This Row],[UB Comp 1]]+INTWAG[[#This Row],[UB Comp 2]]</f>
        <v>0</v>
      </c>
      <c r="O39" s="6">
        <f>RANK(INTWAG[[#This Row],[UB League Total]],INTWAG[UB League Total], 0)</f>
        <v>20</v>
      </c>
      <c r="P39"/>
      <c r="Q39">
        <v>100</v>
      </c>
      <c r="R39" s="10">
        <f>INTWAG[[#This Row],[VT Comp 1]]+INTWAG[[#This Row],[VT Comp 2]]</f>
        <v>100</v>
      </c>
      <c r="S39" s="6">
        <f>RANK(INTWAG[[#This Row],[VT League Total]],INTWAG[VT League Total], 0)</f>
        <v>17</v>
      </c>
      <c r="T39"/>
      <c r="U39">
        <v>90.909090909090921</v>
      </c>
      <c r="V39" s="10">
        <f>INTWAG[[#This Row],[AA Comp 1]]+INTWAG[[#This Row],[AA Comp 2]]</f>
        <v>90.909090909090921</v>
      </c>
      <c r="W39" s="6">
        <f>RANK(INTWAG[[#This Row],[AA League Total]],INTWAG[AA League Total], 0)</f>
        <v>38</v>
      </c>
    </row>
    <row r="40" spans="1:23" x14ac:dyDescent="0.2">
      <c r="A40" s="8"/>
      <c r="B40" t="s">
        <v>51</v>
      </c>
      <c r="C40" t="s">
        <v>287</v>
      </c>
      <c r="D40"/>
      <c r="E40">
        <v>89.78102189781022</v>
      </c>
      <c r="F40" s="10">
        <f>INTWAG[[#This Row],[FX Comp 1]]+INTWAG[[#This Row],[FX Comp 2]]</f>
        <v>89.78102189781022</v>
      </c>
      <c r="G40" s="6">
        <f>RANK(INTWAG[[#This Row],[FX League Total]],INTWAG[FX League Total], 0)</f>
        <v>32</v>
      </c>
      <c r="I40" s="4">
        <v>79.856115107913666</v>
      </c>
      <c r="J40" s="10">
        <f>INTWAG[[#This Row],[BB Comp 1]]+INTWAG[[#This Row],[BB Comp 2]]</f>
        <v>79.856115107913666</v>
      </c>
      <c r="K40" s="6">
        <f>RANK(INTWAG[[#This Row],[BB League Total]],INTWAG[BB League Total], 0)</f>
        <v>27</v>
      </c>
      <c r="L40"/>
      <c r="M40">
        <v>0</v>
      </c>
      <c r="N40" s="10">
        <f>INTWAG[[#This Row],[UB Comp 1]]+INTWAG[[#This Row],[UB Comp 2]]</f>
        <v>0</v>
      </c>
      <c r="O40" s="6">
        <f>RANK(INTWAG[[#This Row],[UB League Total]],INTWAG[UB League Total], 0)</f>
        <v>20</v>
      </c>
      <c r="P40"/>
      <c r="Q40">
        <v>85.472972972972968</v>
      </c>
      <c r="R40" s="10">
        <f>INTWAG[[#This Row],[VT Comp 1]]+INTWAG[[#This Row],[VT Comp 2]]</f>
        <v>85.472972972972968</v>
      </c>
      <c r="S40" s="6">
        <f>RANK(INTWAG[[#This Row],[VT League Total]],INTWAG[VT League Total], 0)</f>
        <v>46</v>
      </c>
      <c r="T40"/>
      <c r="U40">
        <v>89.788293897882937</v>
      </c>
      <c r="V40" s="10">
        <f>INTWAG[[#This Row],[AA Comp 1]]+INTWAG[[#This Row],[AA Comp 2]]</f>
        <v>89.788293897882937</v>
      </c>
      <c r="W40" s="6">
        <f>RANK(INTWAG[[#This Row],[AA League Total]],INTWAG[AA League Total], 0)</f>
        <v>39</v>
      </c>
    </row>
    <row r="41" spans="1:23" x14ac:dyDescent="0.2">
      <c r="A41" s="8"/>
      <c r="B41" t="s">
        <v>42</v>
      </c>
      <c r="C41" t="s">
        <v>276</v>
      </c>
      <c r="D41"/>
      <c r="E41">
        <v>77.372262773722625</v>
      </c>
      <c r="F41" s="10">
        <f>INTWAG[[#This Row],[FX Comp 1]]+INTWAG[[#This Row],[FX Comp 2]]</f>
        <v>77.372262773722625</v>
      </c>
      <c r="G41" s="6">
        <f>RANK(INTWAG[[#This Row],[FX League Total]],INTWAG[FX League Total], 0)</f>
        <v>56</v>
      </c>
      <c r="H41"/>
      <c r="I41">
        <v>0</v>
      </c>
      <c r="J41" s="10">
        <f>INTWAG[[#This Row],[BB Comp 1]]+INTWAG[[#This Row],[BB Comp 2]]</f>
        <v>0</v>
      </c>
      <c r="K41" s="6">
        <f>RANK(INTWAG[[#This Row],[BB League Total]],INTWAG[BB League Total], 0)</f>
        <v>47</v>
      </c>
      <c r="L41"/>
      <c r="M41">
        <v>95.338983050847446</v>
      </c>
      <c r="N41" s="10">
        <f>INTWAG[[#This Row],[UB Comp 1]]+INTWAG[[#This Row],[UB Comp 2]]</f>
        <v>95.338983050847446</v>
      </c>
      <c r="O41" s="6">
        <f>RANK(INTWAG[[#This Row],[UB League Total]],INTWAG[UB League Total], 0)</f>
        <v>11</v>
      </c>
      <c r="P41"/>
      <c r="Q41">
        <v>94.932432432432435</v>
      </c>
      <c r="R41" s="10">
        <f>INTWAG[[#This Row],[VT Comp 1]]+INTWAG[[#This Row],[VT Comp 2]]</f>
        <v>94.932432432432435</v>
      </c>
      <c r="S41" s="6">
        <f>RANK(INTWAG[[#This Row],[VT League Total]],INTWAG[VT League Total], 0)</f>
        <v>31</v>
      </c>
      <c r="T41"/>
      <c r="U41">
        <v>89.414694894146962</v>
      </c>
      <c r="V41" s="10">
        <f>INTWAG[[#This Row],[AA Comp 1]]+INTWAG[[#This Row],[AA Comp 2]]</f>
        <v>89.414694894146962</v>
      </c>
      <c r="W41" s="6">
        <f>RANK(INTWAG[[#This Row],[AA League Total]],INTWAG[AA League Total], 0)</f>
        <v>40</v>
      </c>
    </row>
    <row r="42" spans="1:23" x14ac:dyDescent="0.2">
      <c r="A42" s="8"/>
      <c r="B42" s="19" t="s">
        <v>50</v>
      </c>
      <c r="C42" s="19" t="s">
        <v>197</v>
      </c>
      <c r="D42"/>
      <c r="E42">
        <v>78.102189781021892</v>
      </c>
      <c r="F42" s="10">
        <f>INTWAG[[#This Row],[FX Comp 1]]+INTWAG[[#This Row],[FX Comp 2]]</f>
        <v>78.102189781021892</v>
      </c>
      <c r="G42" s="6">
        <f>RANK(INTWAG[[#This Row],[FX League Total]],INTWAG[FX League Total], 0)</f>
        <v>54</v>
      </c>
      <c r="H42"/>
      <c r="I42" s="4">
        <v>92.086330935251809</v>
      </c>
      <c r="J42" s="10">
        <f>INTWAG[[#This Row],[BB Comp 1]]+INTWAG[[#This Row],[BB Comp 2]]</f>
        <v>92.086330935251809</v>
      </c>
      <c r="K42" s="6">
        <f>RANK(INTWAG[[#This Row],[BB League Total]],INTWAG[BB League Total], 0)</f>
        <v>18</v>
      </c>
      <c r="L42"/>
      <c r="M42">
        <v>0</v>
      </c>
      <c r="N42" s="10">
        <f>INTWAG[[#This Row],[UB Comp 1]]+INTWAG[[#This Row],[UB Comp 2]]</f>
        <v>0</v>
      </c>
      <c r="O42" s="6">
        <f>RANK(INTWAG[[#This Row],[UB League Total]],INTWAG[UB League Total], 0)</f>
        <v>20</v>
      </c>
      <c r="P42"/>
      <c r="Q42">
        <v>82.432432432432421</v>
      </c>
      <c r="R42" s="10">
        <f>INTWAG[[#This Row],[VT Comp 1]]+INTWAG[[#This Row],[VT Comp 2]]</f>
        <v>82.432432432432421</v>
      </c>
      <c r="S42" s="6">
        <f>RANK(INTWAG[[#This Row],[VT League Total]],INTWAG[VT League Total], 0)</f>
        <v>48</v>
      </c>
      <c r="T42"/>
      <c r="U42">
        <v>88.916562889165647</v>
      </c>
      <c r="V42" s="10">
        <f>INTWAG[[#This Row],[AA Comp 1]]+INTWAG[[#This Row],[AA Comp 2]]</f>
        <v>88.916562889165647</v>
      </c>
      <c r="W42" s="6">
        <f>RANK(INTWAG[[#This Row],[AA League Total]],INTWAG[AA League Total], 0)</f>
        <v>41</v>
      </c>
    </row>
    <row r="43" spans="1:23" x14ac:dyDescent="0.2">
      <c r="A43" s="1"/>
      <c r="B43" t="s">
        <v>79</v>
      </c>
      <c r="C43" t="s">
        <v>161</v>
      </c>
      <c r="D43">
        <v>91.489361702127667</v>
      </c>
      <c r="E43"/>
      <c r="F43" s="10">
        <f>INTWAG[[#This Row],[FX Comp 1]]+INTWAG[[#This Row],[FX Comp 2]]</f>
        <v>91.489361702127667</v>
      </c>
      <c r="G43" s="6">
        <f>RANK(INTWAG[[#This Row],[FX League Total]],INTWAG[FX League Total], 0)</f>
        <v>29</v>
      </c>
      <c r="H43">
        <v>84.410646387832699</v>
      </c>
      <c r="I43"/>
      <c r="J43" s="10">
        <f>INTWAG[[#This Row],[BB Comp 1]]+INTWAG[[#This Row],[BB Comp 2]]</f>
        <v>84.410646387832699</v>
      </c>
      <c r="K43" s="6">
        <f>RANK(INTWAG[[#This Row],[BB League Total]],INTWAG[BB League Total], 0)</f>
        <v>21</v>
      </c>
      <c r="L43">
        <v>0</v>
      </c>
      <c r="M43"/>
      <c r="N43" s="10">
        <f>INTWAG[[#This Row],[UB Comp 1]]+INTWAG[[#This Row],[UB Comp 2]]</f>
        <v>0</v>
      </c>
      <c r="O43" s="6">
        <f>RANK(INTWAG[[#This Row],[UB League Total]],INTWAG[UB League Total], 0)</f>
        <v>20</v>
      </c>
      <c r="P43">
        <v>77.551020408163268</v>
      </c>
      <c r="Q43"/>
      <c r="R43" s="10">
        <f>INTWAG[[#This Row],[VT Comp 1]]+INTWAG[[#This Row],[VT Comp 2]]</f>
        <v>77.551020408163268</v>
      </c>
      <c r="S43" s="6">
        <f>RANK(INTWAG[[#This Row],[VT League Total]],INTWAG[VT League Total], 0)</f>
        <v>58</v>
      </c>
      <c r="T43">
        <v>88.61076345431789</v>
      </c>
      <c r="U43"/>
      <c r="V43" s="10">
        <f>INTWAG[[#This Row],[AA Comp 1]]+INTWAG[[#This Row],[AA Comp 2]]</f>
        <v>88.61076345431789</v>
      </c>
      <c r="W43" s="6">
        <f>RANK(INTWAG[[#This Row],[AA League Total]],INTWAG[AA League Total], 0)</f>
        <v>42</v>
      </c>
    </row>
    <row r="44" spans="1:23" x14ac:dyDescent="0.2">
      <c r="A44" s="8"/>
      <c r="B44" t="s">
        <v>42</v>
      </c>
      <c r="C44" t="s">
        <v>286</v>
      </c>
      <c r="D44"/>
      <c r="E44">
        <v>96.350364963503637</v>
      </c>
      <c r="F44" s="10">
        <f>INTWAG[[#This Row],[FX Comp 1]]+INTWAG[[#This Row],[FX Comp 2]]</f>
        <v>96.350364963503637</v>
      </c>
      <c r="G44" s="6">
        <f>RANK(INTWAG[[#This Row],[FX League Total]],INTWAG[FX League Total], 0)</f>
        <v>26</v>
      </c>
      <c r="H44"/>
      <c r="I44" s="4">
        <v>82.733812949640281</v>
      </c>
      <c r="J44" s="10">
        <f>INTWAG[[#This Row],[BB Comp 1]]+INTWAG[[#This Row],[BB Comp 2]]</f>
        <v>82.733812949640281</v>
      </c>
      <c r="K44" s="6">
        <f>RANK(INTWAG[[#This Row],[BB League Total]],INTWAG[BB League Total], 0)</f>
        <v>25</v>
      </c>
      <c r="L44"/>
      <c r="M44">
        <v>0</v>
      </c>
      <c r="N44" s="10">
        <f>INTWAG[[#This Row],[UB Comp 1]]+INTWAG[[#This Row],[UB Comp 2]]</f>
        <v>0</v>
      </c>
      <c r="O44" s="6">
        <f>RANK(INTWAG[[#This Row],[UB League Total]],INTWAG[UB League Total], 0)</f>
        <v>20</v>
      </c>
      <c r="P44"/>
      <c r="Q44">
        <v>73.310810810810807</v>
      </c>
      <c r="R44" s="10">
        <f>INTWAG[[#This Row],[VT Comp 1]]+INTWAG[[#This Row],[VT Comp 2]]</f>
        <v>73.310810810810807</v>
      </c>
      <c r="S44" s="6">
        <f>RANK(INTWAG[[#This Row],[VT League Total]],INTWAG[VT League Total], 0)</f>
        <v>63</v>
      </c>
      <c r="T44"/>
      <c r="U44">
        <v>88.542963885429643</v>
      </c>
      <c r="V44" s="10">
        <f>INTWAG[[#This Row],[AA Comp 1]]+INTWAG[[#This Row],[AA Comp 2]]</f>
        <v>88.542963885429643</v>
      </c>
      <c r="W44" s="6">
        <f>RANK(INTWAG[[#This Row],[AA League Total]],INTWAG[AA League Total], 0)</f>
        <v>43</v>
      </c>
    </row>
    <row r="45" spans="1:23" x14ac:dyDescent="0.2">
      <c r="A45" s="8"/>
      <c r="B45" t="s">
        <v>51</v>
      </c>
      <c r="C45" t="s">
        <v>140</v>
      </c>
      <c r="D45"/>
      <c r="E45">
        <v>87.591240875912405</v>
      </c>
      <c r="F45" s="10">
        <f>INTWAG[[#This Row],[FX Comp 1]]+INTWAG[[#This Row],[FX Comp 2]]</f>
        <v>87.591240875912405</v>
      </c>
      <c r="G45" s="6">
        <f>RANK(INTWAG[[#This Row],[FX League Total]],INTWAG[FX League Total], 0)</f>
        <v>35</v>
      </c>
      <c r="H45"/>
      <c r="I45">
        <v>0</v>
      </c>
      <c r="J45" s="10">
        <f>INTWAG[[#This Row],[BB Comp 1]]+INTWAG[[#This Row],[BB Comp 2]]</f>
        <v>0</v>
      </c>
      <c r="K45" s="6">
        <f>RANK(INTWAG[[#This Row],[BB League Total]],INTWAG[BB League Total], 0)</f>
        <v>47</v>
      </c>
      <c r="L45"/>
      <c r="M45">
        <v>78.813559322033896</v>
      </c>
      <c r="N45" s="10">
        <f>INTWAG[[#This Row],[UB Comp 1]]+INTWAG[[#This Row],[UB Comp 2]]</f>
        <v>78.813559322033896</v>
      </c>
      <c r="O45" s="6">
        <f>RANK(INTWAG[[#This Row],[UB League Total]],INTWAG[UB League Total], 0)</f>
        <v>16</v>
      </c>
      <c r="P45"/>
      <c r="Q45">
        <v>95.27027027027026</v>
      </c>
      <c r="R45" s="10">
        <f>INTWAG[[#This Row],[VT Comp 1]]+INTWAG[[#This Row],[VT Comp 2]]</f>
        <v>95.27027027027026</v>
      </c>
      <c r="S45" s="6">
        <f>RANK(INTWAG[[#This Row],[VT League Total]],INTWAG[VT League Total], 0)</f>
        <v>30</v>
      </c>
      <c r="T45"/>
      <c r="U45">
        <v>88.169364881693639</v>
      </c>
      <c r="V45" s="10">
        <f>INTWAG[[#This Row],[AA Comp 1]]+INTWAG[[#This Row],[AA Comp 2]]</f>
        <v>88.169364881693639</v>
      </c>
      <c r="W45" s="6">
        <f>RANK(INTWAG[[#This Row],[AA League Total]],INTWAG[AA League Total], 0)</f>
        <v>44</v>
      </c>
    </row>
    <row r="46" spans="1:23" x14ac:dyDescent="0.2">
      <c r="A46" s="8"/>
      <c r="B46" s="19" t="s">
        <v>248</v>
      </c>
      <c r="C46" t="s">
        <v>291</v>
      </c>
      <c r="D46"/>
      <c r="E46">
        <v>83.941605839416056</v>
      </c>
      <c r="F46" s="10">
        <f>INTWAG[[#This Row],[FX Comp 1]]+INTWAG[[#This Row],[FX Comp 2]]</f>
        <v>83.941605839416056</v>
      </c>
      <c r="G46" s="6">
        <f>RANK(INTWAG[[#This Row],[FX League Total]],INTWAG[FX League Total], 0)</f>
        <v>44</v>
      </c>
      <c r="H46"/>
      <c r="I46" s="4">
        <v>73.381294964028768</v>
      </c>
      <c r="J46" s="10">
        <f>INTWAG[[#This Row],[BB Comp 1]]+INTWAG[[#This Row],[BB Comp 2]]</f>
        <v>73.381294964028768</v>
      </c>
      <c r="K46" s="6">
        <f>RANK(INTWAG[[#This Row],[BB League Total]],INTWAG[BB League Total], 0)</f>
        <v>30</v>
      </c>
      <c r="L46"/>
      <c r="M46">
        <v>0</v>
      </c>
      <c r="N46" s="10">
        <f>INTWAG[[#This Row],[UB Comp 1]]+INTWAG[[#This Row],[UB Comp 2]]</f>
        <v>0</v>
      </c>
      <c r="O46" s="6">
        <f>RANK(INTWAG[[#This Row],[UB League Total]],INTWAG[UB League Total], 0)</f>
        <v>20</v>
      </c>
      <c r="P46"/>
      <c r="Q46">
        <v>91.891891891891888</v>
      </c>
      <c r="R46" s="10">
        <f>INTWAG[[#This Row],[VT Comp 1]]+INTWAG[[#This Row],[VT Comp 2]]</f>
        <v>91.891891891891888</v>
      </c>
      <c r="S46" s="6">
        <f>RANK(INTWAG[[#This Row],[VT League Total]],INTWAG[VT League Total], 0)</f>
        <v>38</v>
      </c>
      <c r="T46"/>
      <c r="U46">
        <v>87.920298879202988</v>
      </c>
      <c r="V46" s="10">
        <f>INTWAG[[#This Row],[AA Comp 1]]+INTWAG[[#This Row],[AA Comp 2]]</f>
        <v>87.920298879202988</v>
      </c>
      <c r="W46" s="6">
        <f>RANK(INTWAG[[#This Row],[AA League Total]],INTWAG[AA League Total], 0)</f>
        <v>45</v>
      </c>
    </row>
    <row r="47" spans="1:23" x14ac:dyDescent="0.2">
      <c r="A47" s="1"/>
      <c r="B47" t="s">
        <v>42</v>
      </c>
      <c r="C47" t="s">
        <v>177</v>
      </c>
      <c r="D47" s="4">
        <v>82.978723404255319</v>
      </c>
      <c r="F47" s="10">
        <f>INTWAG[[#This Row],[FX Comp 1]]+INTWAG[[#This Row],[FX Comp 2]]</f>
        <v>82.978723404255319</v>
      </c>
      <c r="G47" s="6">
        <f>RANK(INTWAG[[#This Row],[FX League Total]],INTWAG[FX League Total], 0)</f>
        <v>45</v>
      </c>
      <c r="H47" s="4">
        <v>84.030418250950575</v>
      </c>
      <c r="J47" s="10">
        <f>INTWAG[[#This Row],[BB Comp 1]]+INTWAG[[#This Row],[BB Comp 2]]</f>
        <v>84.030418250950575</v>
      </c>
      <c r="K47" s="6">
        <f>RANK(INTWAG[[#This Row],[BB League Total]],INTWAG[BB League Total], 0)</f>
        <v>24</v>
      </c>
      <c r="L47" s="4">
        <v>0</v>
      </c>
      <c r="N47" s="10">
        <f>INTWAG[[#This Row],[UB Comp 1]]+INTWAG[[#This Row],[UB Comp 2]]</f>
        <v>0</v>
      </c>
      <c r="O47" s="6">
        <f>RANK(INTWAG[[#This Row],[UB League Total]],INTWAG[UB League Total], 0)</f>
        <v>20</v>
      </c>
      <c r="P47" s="4">
        <v>81.632653061224488</v>
      </c>
      <c r="R47" s="10">
        <f>INTWAG[[#This Row],[VT Comp 1]]+INTWAG[[#This Row],[VT Comp 2]]</f>
        <v>81.632653061224488</v>
      </c>
      <c r="S47" s="6">
        <f>RANK(INTWAG[[#This Row],[VT League Total]],INTWAG[VT League Total], 0)</f>
        <v>51</v>
      </c>
      <c r="T47" s="4">
        <v>86.983729662077593</v>
      </c>
      <c r="V47" s="10">
        <f>INTWAG[[#This Row],[AA Comp 1]]+INTWAG[[#This Row],[AA Comp 2]]</f>
        <v>86.983729662077593</v>
      </c>
      <c r="W47" s="6">
        <f>RANK(INTWAG[[#This Row],[AA League Total]],INTWAG[AA League Total], 0)</f>
        <v>46</v>
      </c>
    </row>
    <row r="48" spans="1:23" x14ac:dyDescent="0.2">
      <c r="A48" s="1"/>
      <c r="B48" t="s">
        <v>78</v>
      </c>
      <c r="C48" t="s">
        <v>152</v>
      </c>
      <c r="D48" s="4">
        <v>84.39716312056737</v>
      </c>
      <c r="F48" s="10">
        <f>INTWAG[[#This Row],[FX Comp 1]]+INTWAG[[#This Row],[FX Comp 2]]</f>
        <v>84.39716312056737</v>
      </c>
      <c r="G48" s="6">
        <f>RANK(INTWAG[[#This Row],[FX League Total]],INTWAG[FX League Total], 0)</f>
        <v>42</v>
      </c>
      <c r="H48" s="4">
        <v>87.45247148288972</v>
      </c>
      <c r="J48" s="10">
        <f>INTWAG[[#This Row],[BB Comp 1]]+INTWAG[[#This Row],[BB Comp 2]]</f>
        <v>87.45247148288972</v>
      </c>
      <c r="K48" s="6">
        <f>RANK(INTWAG[[#This Row],[BB League Total]],INTWAG[BB League Total], 0)</f>
        <v>20</v>
      </c>
      <c r="L48" s="4">
        <v>0</v>
      </c>
      <c r="N48" s="10">
        <f>INTWAG[[#This Row],[UB Comp 1]]+INTWAG[[#This Row],[UB Comp 2]]</f>
        <v>0</v>
      </c>
      <c r="O48" s="6">
        <f>RANK(INTWAG[[#This Row],[UB League Total]],INTWAG[UB League Total], 0)</f>
        <v>20</v>
      </c>
      <c r="P48" s="4">
        <v>75.850340136054427</v>
      </c>
      <c r="R48" s="10">
        <f>INTWAG[[#This Row],[VT Comp 1]]+INTWAG[[#This Row],[VT Comp 2]]</f>
        <v>75.850340136054427</v>
      </c>
      <c r="S48" s="6">
        <f>RANK(INTWAG[[#This Row],[VT League Total]],INTWAG[VT League Total], 0)</f>
        <v>60</v>
      </c>
      <c r="T48" s="4">
        <v>86.483103879849793</v>
      </c>
      <c r="V48" s="10">
        <f>INTWAG[[#This Row],[AA Comp 1]]+INTWAG[[#This Row],[AA Comp 2]]</f>
        <v>86.483103879849793</v>
      </c>
      <c r="W48" s="6">
        <f>RANK(INTWAG[[#This Row],[AA League Total]],INTWAG[AA League Total], 0)</f>
        <v>47</v>
      </c>
    </row>
    <row r="49" spans="1:23" x14ac:dyDescent="0.2">
      <c r="A49" s="8"/>
      <c r="B49" t="s">
        <v>52</v>
      </c>
      <c r="C49" t="s">
        <v>277</v>
      </c>
      <c r="D49"/>
      <c r="E49">
        <v>76.642335766423358</v>
      </c>
      <c r="F49" s="10">
        <f>INTWAG[[#This Row],[FX Comp 1]]+INTWAG[[#This Row],[FX Comp 2]]</f>
        <v>76.642335766423358</v>
      </c>
      <c r="G49" s="6">
        <f>RANK(INTWAG[[#This Row],[FX League Total]],INTWAG[FX League Total], 0)</f>
        <v>58</v>
      </c>
      <c r="H49"/>
      <c r="I49">
        <v>0</v>
      </c>
      <c r="J49" s="10">
        <f>INTWAG[[#This Row],[BB Comp 1]]+INTWAG[[#This Row],[BB Comp 2]]</f>
        <v>0</v>
      </c>
      <c r="K49" s="6">
        <f>RANK(INTWAG[[#This Row],[BB League Total]],INTWAG[BB League Total], 0)</f>
        <v>47</v>
      </c>
      <c r="L49"/>
      <c r="M49">
        <v>80.508474576271183</v>
      </c>
      <c r="N49" s="10">
        <f>INTWAG[[#This Row],[UB Comp 1]]+INTWAG[[#This Row],[UB Comp 2]]</f>
        <v>80.508474576271183</v>
      </c>
      <c r="O49" s="6">
        <f>RANK(INTWAG[[#This Row],[UB League Total]],INTWAG[UB League Total], 0)</f>
        <v>15</v>
      </c>
      <c r="P49"/>
      <c r="Q49">
        <v>94.594594594594597</v>
      </c>
      <c r="R49" s="10">
        <f>INTWAG[[#This Row],[VT Comp 1]]+INTWAG[[#This Row],[VT Comp 2]]</f>
        <v>94.594594594594597</v>
      </c>
      <c r="S49" s="6">
        <f>RANK(INTWAG[[#This Row],[VT League Total]],INTWAG[VT League Total], 0)</f>
        <v>34</v>
      </c>
      <c r="T49"/>
      <c r="U49">
        <v>84.68244084682442</v>
      </c>
      <c r="V49" s="10">
        <f>INTWAG[[#This Row],[AA Comp 1]]+INTWAG[[#This Row],[AA Comp 2]]</f>
        <v>84.68244084682442</v>
      </c>
      <c r="W49" s="6">
        <f>RANK(INTWAG[[#This Row],[AA League Total]],INTWAG[AA League Total], 0)</f>
        <v>48</v>
      </c>
    </row>
    <row r="50" spans="1:23" x14ac:dyDescent="0.2">
      <c r="A50" s="1"/>
      <c r="B50" s="1" t="s">
        <v>52</v>
      </c>
      <c r="C50" s="1" t="s">
        <v>170</v>
      </c>
      <c r="D50" s="4">
        <v>84.39716312056737</v>
      </c>
      <c r="F50" s="10">
        <f>INTWAG[[#This Row],[FX Comp 1]]+INTWAG[[#This Row],[FX Comp 2]]</f>
        <v>84.39716312056737</v>
      </c>
      <c r="G50" s="6">
        <f>RANK(INTWAG[[#This Row],[FX League Total]],INTWAG[FX League Total], 0)</f>
        <v>42</v>
      </c>
      <c r="H50" s="4">
        <v>0</v>
      </c>
      <c r="J50" s="10">
        <f>INTWAG[[#This Row],[BB Comp 1]]+INTWAG[[#This Row],[BB Comp 2]]</f>
        <v>0</v>
      </c>
      <c r="K50" s="6">
        <f>RANK(INTWAG[[#This Row],[BB League Total]],INTWAG[BB League Total], 0)</f>
        <v>47</v>
      </c>
      <c r="L50" s="4">
        <v>71.544715447154474</v>
      </c>
      <c r="N50" s="10">
        <f>INTWAG[[#This Row],[UB Comp 1]]+INTWAG[[#This Row],[UB Comp 2]]</f>
        <v>71.544715447154474</v>
      </c>
      <c r="O50" s="6">
        <f>RANK(INTWAG[[#This Row],[UB League Total]],INTWAG[UB League Total], 0)</f>
        <v>18</v>
      </c>
      <c r="P50" s="4">
        <v>84.693877551020407</v>
      </c>
      <c r="R50" s="10">
        <f>INTWAG[[#This Row],[VT Comp 1]]+INTWAG[[#This Row],[VT Comp 2]]</f>
        <v>84.693877551020407</v>
      </c>
      <c r="S50" s="6">
        <f>RANK(INTWAG[[#This Row],[VT League Total]],INTWAG[VT League Total], 0)</f>
        <v>47</v>
      </c>
      <c r="T50" s="4">
        <v>82.978723404255334</v>
      </c>
      <c r="V50" s="10">
        <f>INTWAG[[#This Row],[AA Comp 1]]+INTWAG[[#This Row],[AA Comp 2]]</f>
        <v>82.978723404255334</v>
      </c>
      <c r="W50" s="6">
        <f>RANK(INTWAG[[#This Row],[AA League Total]],INTWAG[AA League Total], 0)</f>
        <v>49</v>
      </c>
    </row>
    <row r="51" spans="1:23" x14ac:dyDescent="0.2">
      <c r="A51" s="8"/>
      <c r="B51" t="s">
        <v>50</v>
      </c>
      <c r="C51" t="s">
        <v>189</v>
      </c>
      <c r="D51" s="4">
        <v>77.304964539007088</v>
      </c>
      <c r="F51" s="10">
        <f>INTWAG[[#This Row],[FX Comp 1]]+INTWAG[[#This Row],[FX Comp 2]]</f>
        <v>77.304964539007088</v>
      </c>
      <c r="G51" s="6">
        <f>RANK(INTWAG[[#This Row],[FX League Total]],INTWAG[FX League Total], 0)</f>
        <v>57</v>
      </c>
      <c r="H51" s="4">
        <v>0</v>
      </c>
      <c r="J51" s="10">
        <f>INTWAG[[#This Row],[BB Comp 1]]+INTWAG[[#This Row],[BB Comp 2]]</f>
        <v>0</v>
      </c>
      <c r="K51" s="6">
        <f>RANK(INTWAG[[#This Row],[BB League Total]],INTWAG[BB League Total], 0)</f>
        <v>47</v>
      </c>
      <c r="L51" s="4">
        <v>73.170731707317074</v>
      </c>
      <c r="N51" s="10">
        <f>INTWAG[[#This Row],[UB Comp 1]]+INTWAG[[#This Row],[UB Comp 2]]</f>
        <v>73.170731707317074</v>
      </c>
      <c r="O51" s="6">
        <f>RANK(INTWAG[[#This Row],[UB League Total]],INTWAG[UB League Total], 0)</f>
        <v>17</v>
      </c>
      <c r="P51" s="4">
        <v>87.414965986394549</v>
      </c>
      <c r="R51" s="10">
        <f>INTWAG[[#This Row],[VT Comp 1]]+INTWAG[[#This Row],[VT Comp 2]]</f>
        <v>87.414965986394549</v>
      </c>
      <c r="S51" s="6">
        <f>RANK(INTWAG[[#This Row],[VT League Total]],INTWAG[VT League Total], 0)</f>
        <v>43</v>
      </c>
      <c r="T51" s="4">
        <v>81.977471839799747</v>
      </c>
      <c r="V51" s="10">
        <f>INTWAG[[#This Row],[AA Comp 1]]+INTWAG[[#This Row],[AA Comp 2]]</f>
        <v>81.977471839799747</v>
      </c>
      <c r="W51" s="6">
        <f>RANK(INTWAG[[#This Row],[AA League Total]],INTWAG[AA League Total], 0)</f>
        <v>50</v>
      </c>
    </row>
    <row r="52" spans="1:23" x14ac:dyDescent="0.2">
      <c r="A52" s="1"/>
      <c r="B52" t="s">
        <v>63</v>
      </c>
      <c r="C52" t="s">
        <v>178</v>
      </c>
      <c r="D52" s="4">
        <v>53.900709219858157</v>
      </c>
      <c r="E52" s="4">
        <v>75.912408759124077</v>
      </c>
      <c r="F52" s="10">
        <f>INTWAG[[#This Row],[FX Comp 1]]+INTWAG[[#This Row],[FX Comp 2]]</f>
        <v>129.81311797898223</v>
      </c>
      <c r="G52" s="6">
        <f>RANK(INTWAG[[#This Row],[FX League Total]],INTWAG[FX League Total], 0)</f>
        <v>22</v>
      </c>
      <c r="H52" s="4">
        <v>57.794676806083643</v>
      </c>
      <c r="I52" s="4">
        <v>47.482014388489205</v>
      </c>
      <c r="J52" s="10">
        <f>INTWAG[[#This Row],[BB Comp 1]]+INTWAG[[#This Row],[BB Comp 2]]</f>
        <v>105.27669119457285</v>
      </c>
      <c r="K52" s="6">
        <f>RANK(INTWAG[[#This Row],[BB League Total]],INTWAG[BB League Total], 0)</f>
        <v>12</v>
      </c>
      <c r="L52" s="4">
        <v>0</v>
      </c>
      <c r="M52" s="4">
        <v>0</v>
      </c>
      <c r="N52" s="10">
        <f>INTWAG[[#This Row],[UB Comp 1]]+INTWAG[[#This Row],[UB Comp 2]]</f>
        <v>0</v>
      </c>
      <c r="O52" s="6">
        <f>RANK(INTWAG[[#This Row],[UB League Total]],INTWAG[UB League Total], 0)</f>
        <v>20</v>
      </c>
      <c r="P52" s="4">
        <v>0</v>
      </c>
      <c r="Q52" s="4">
        <v>0</v>
      </c>
      <c r="R52" s="10">
        <f>INTWAG[[#This Row],[VT Comp 1]]+INTWAG[[#This Row],[VT Comp 2]]</f>
        <v>0</v>
      </c>
      <c r="S52" s="6">
        <f>RANK(INTWAG[[#This Row],[VT League Total]],INTWAG[VT League Total], 0)</f>
        <v>66</v>
      </c>
      <c r="T52" s="4">
        <v>38.047559449311635</v>
      </c>
      <c r="U52" s="4">
        <v>42.34122042341221</v>
      </c>
      <c r="V52" s="10">
        <f>INTWAG[[#This Row],[AA Comp 1]]+INTWAG[[#This Row],[AA Comp 2]]</f>
        <v>80.388779872723845</v>
      </c>
      <c r="W52" s="6">
        <f>RANK(INTWAG[[#This Row],[AA League Total]],INTWAG[AA League Total], 0)</f>
        <v>51</v>
      </c>
    </row>
    <row r="53" spans="1:23" x14ac:dyDescent="0.2">
      <c r="A53" s="8"/>
      <c r="B53" t="s">
        <v>235</v>
      </c>
      <c r="C53" t="s">
        <v>292</v>
      </c>
      <c r="D53"/>
      <c r="E53">
        <v>77.372262773722639</v>
      </c>
      <c r="F53" s="10">
        <f>INTWAG[[#This Row],[FX Comp 1]]+INTWAG[[#This Row],[FX Comp 2]]</f>
        <v>77.372262773722639</v>
      </c>
      <c r="G53" s="6">
        <f>RANK(INTWAG[[#This Row],[FX League Total]],INTWAG[FX League Total], 0)</f>
        <v>55</v>
      </c>
      <c r="H53"/>
      <c r="I53" s="4">
        <v>66.906474820143885</v>
      </c>
      <c r="J53" s="10">
        <f>INTWAG[[#This Row],[BB Comp 1]]+INTWAG[[#This Row],[BB Comp 2]]</f>
        <v>66.906474820143885</v>
      </c>
      <c r="K53" s="6">
        <f>RANK(INTWAG[[#This Row],[BB League Total]],INTWAG[BB League Total], 0)</f>
        <v>33</v>
      </c>
      <c r="L53"/>
      <c r="M53">
        <v>0</v>
      </c>
      <c r="N53" s="10">
        <f>INTWAG[[#This Row],[UB Comp 1]]+INTWAG[[#This Row],[UB Comp 2]]</f>
        <v>0</v>
      </c>
      <c r="O53" s="6">
        <f>RANK(INTWAG[[#This Row],[UB League Total]],INTWAG[UB League Total], 0)</f>
        <v>20</v>
      </c>
      <c r="P53"/>
      <c r="Q53">
        <v>79.729729729729726</v>
      </c>
      <c r="R53" s="10">
        <f>INTWAG[[#This Row],[VT Comp 1]]+INTWAG[[#This Row],[VT Comp 2]]</f>
        <v>79.729729729729726</v>
      </c>
      <c r="S53" s="6">
        <f>RANK(INTWAG[[#This Row],[VT League Total]],INTWAG[VT League Total], 0)</f>
        <v>54</v>
      </c>
      <c r="T53"/>
      <c r="U53">
        <v>78.953922789539234</v>
      </c>
      <c r="V53" s="10">
        <f>INTWAG[[#This Row],[AA Comp 1]]+INTWAG[[#This Row],[AA Comp 2]]</f>
        <v>78.953922789539234</v>
      </c>
      <c r="W53" s="6">
        <f>RANK(INTWAG[[#This Row],[AA League Total]],INTWAG[AA League Total], 0)</f>
        <v>52</v>
      </c>
    </row>
    <row r="54" spans="1:23" x14ac:dyDescent="0.2">
      <c r="A54" s="8"/>
      <c r="B54" t="s">
        <v>42</v>
      </c>
      <c r="C54" t="s">
        <v>288</v>
      </c>
      <c r="D54"/>
      <c r="E54">
        <v>71.532846715328475</v>
      </c>
      <c r="F54" s="10">
        <f>INTWAG[[#This Row],[FX Comp 1]]+INTWAG[[#This Row],[FX Comp 2]]</f>
        <v>71.532846715328475</v>
      </c>
      <c r="G54" s="6">
        <f>RANK(INTWAG[[#This Row],[FX League Total]],INTWAG[FX League Total], 0)</f>
        <v>60</v>
      </c>
      <c r="H54"/>
      <c r="I54" s="4">
        <v>55.395683453237396</v>
      </c>
      <c r="J54" s="10">
        <f>INTWAG[[#This Row],[BB Comp 1]]+INTWAG[[#This Row],[BB Comp 2]]</f>
        <v>55.395683453237396</v>
      </c>
      <c r="K54" s="6">
        <f>RANK(INTWAG[[#This Row],[BB League Total]],INTWAG[BB League Total], 0)</f>
        <v>38</v>
      </c>
      <c r="L54"/>
      <c r="M54">
        <v>0</v>
      </c>
      <c r="N54" s="10">
        <f>INTWAG[[#This Row],[UB Comp 1]]+INTWAG[[#This Row],[UB Comp 2]]</f>
        <v>0</v>
      </c>
      <c r="O54" s="6">
        <f>RANK(INTWAG[[#This Row],[UB League Total]],INTWAG[UB League Total], 0)</f>
        <v>20</v>
      </c>
      <c r="P54"/>
      <c r="Q54">
        <v>90.202702702702695</v>
      </c>
      <c r="R54" s="10">
        <f>INTWAG[[#This Row],[VT Comp 1]]+INTWAG[[#This Row],[VT Comp 2]]</f>
        <v>90.202702702702695</v>
      </c>
      <c r="S54" s="6">
        <f>RANK(INTWAG[[#This Row],[VT League Total]],INTWAG[VT League Total], 0)</f>
        <v>40</v>
      </c>
      <c r="T54"/>
      <c r="U54">
        <v>76.836861768368621</v>
      </c>
      <c r="V54" s="10">
        <f>INTWAG[[#This Row],[AA Comp 1]]+INTWAG[[#This Row],[AA Comp 2]]</f>
        <v>76.836861768368621</v>
      </c>
      <c r="W54" s="6">
        <f>RANK(INTWAG[[#This Row],[AA League Total]],INTWAG[AA League Total], 0)</f>
        <v>53</v>
      </c>
    </row>
    <row r="55" spans="1:23" x14ac:dyDescent="0.2">
      <c r="A55" s="8"/>
      <c r="B55" t="s">
        <v>51</v>
      </c>
      <c r="C55" t="s">
        <v>285</v>
      </c>
      <c r="D55"/>
      <c r="E55">
        <v>70.802919708029194</v>
      </c>
      <c r="F55" s="10">
        <f>INTWAG[[#This Row],[FX Comp 1]]+INTWAG[[#This Row],[FX Comp 2]]</f>
        <v>70.802919708029194</v>
      </c>
      <c r="G55" s="6">
        <f>RANK(INTWAG[[#This Row],[FX League Total]],INTWAG[FX League Total], 0)</f>
        <v>61</v>
      </c>
      <c r="H55"/>
      <c r="I55" s="4">
        <v>56.115107913669071</v>
      </c>
      <c r="J55" s="10">
        <f>INTWAG[[#This Row],[BB Comp 1]]+INTWAG[[#This Row],[BB Comp 2]]</f>
        <v>56.115107913669071</v>
      </c>
      <c r="K55" s="6">
        <f>RANK(INTWAG[[#This Row],[BB League Total]],INTWAG[BB League Total], 0)</f>
        <v>37</v>
      </c>
      <c r="L55"/>
      <c r="M55">
        <v>0</v>
      </c>
      <c r="N55" s="10">
        <f>INTWAG[[#This Row],[UB Comp 1]]+INTWAG[[#This Row],[UB Comp 2]]</f>
        <v>0</v>
      </c>
      <c r="O55" s="6">
        <f>RANK(INTWAG[[#This Row],[UB League Total]],INTWAG[UB League Total], 0)</f>
        <v>20</v>
      </c>
      <c r="P55"/>
      <c r="Q55">
        <v>87.837837837837824</v>
      </c>
      <c r="R55" s="10">
        <f>INTWAG[[#This Row],[VT Comp 1]]+INTWAG[[#This Row],[VT Comp 2]]</f>
        <v>87.837837837837824</v>
      </c>
      <c r="S55" s="6">
        <f>RANK(INTWAG[[#This Row],[VT League Total]],INTWAG[VT League Total], 0)</f>
        <v>42</v>
      </c>
      <c r="T55"/>
      <c r="U55">
        <v>75.965130759651316</v>
      </c>
      <c r="V55" s="10">
        <f>INTWAG[[#This Row],[AA Comp 1]]+INTWAG[[#This Row],[AA Comp 2]]</f>
        <v>75.965130759651316</v>
      </c>
      <c r="W55" s="6">
        <f>RANK(INTWAG[[#This Row],[AA League Total]],INTWAG[AA League Total], 0)</f>
        <v>54</v>
      </c>
    </row>
    <row r="56" spans="1:23" x14ac:dyDescent="0.2">
      <c r="A56" s="8"/>
      <c r="B56" t="s">
        <v>50</v>
      </c>
      <c r="C56" t="s">
        <v>187</v>
      </c>
      <c r="D56" s="4">
        <v>86.524822695035454</v>
      </c>
      <c r="F56" s="10">
        <f>INTWAG[[#This Row],[FX Comp 1]]+INTWAG[[#This Row],[FX Comp 2]]</f>
        <v>86.524822695035454</v>
      </c>
      <c r="G56" s="6">
        <f>RANK(INTWAG[[#This Row],[FX League Total]],INTWAG[FX League Total], 0)</f>
        <v>37</v>
      </c>
      <c r="H56" s="4">
        <v>51.71102661596958</v>
      </c>
      <c r="J56" s="10">
        <f>INTWAG[[#This Row],[BB Comp 1]]+INTWAG[[#This Row],[BB Comp 2]]</f>
        <v>51.71102661596958</v>
      </c>
      <c r="K56" s="6">
        <f>RANK(INTWAG[[#This Row],[BB League Total]],INTWAG[BB League Total], 0)</f>
        <v>40</v>
      </c>
      <c r="L56" s="4">
        <v>0</v>
      </c>
      <c r="N56" s="10">
        <f>INTWAG[[#This Row],[UB Comp 1]]+INTWAG[[#This Row],[UB Comp 2]]</f>
        <v>0</v>
      </c>
      <c r="O56" s="6">
        <f>RANK(INTWAG[[#This Row],[UB League Total]],INTWAG[UB League Total], 0)</f>
        <v>20</v>
      </c>
      <c r="P56" s="4">
        <v>75.510204081632665</v>
      </c>
      <c r="R56" s="10">
        <f>INTWAG[[#This Row],[VT Comp 1]]+INTWAG[[#This Row],[VT Comp 2]]</f>
        <v>75.510204081632665</v>
      </c>
      <c r="S56" s="6">
        <f>RANK(INTWAG[[#This Row],[VT League Total]],INTWAG[VT League Total], 0)</f>
        <v>61</v>
      </c>
      <c r="T56" s="4">
        <v>75.344180225281605</v>
      </c>
      <c r="V56" s="10">
        <f>INTWAG[[#This Row],[AA Comp 1]]+INTWAG[[#This Row],[AA Comp 2]]</f>
        <v>75.344180225281605</v>
      </c>
      <c r="W56" s="6">
        <f>RANK(INTWAG[[#This Row],[AA League Total]],INTWAG[AA League Total], 0)</f>
        <v>55</v>
      </c>
    </row>
    <row r="57" spans="1:23" x14ac:dyDescent="0.2">
      <c r="A57" s="8"/>
      <c r="B57" s="4" t="s">
        <v>235</v>
      </c>
      <c r="C57" s="4" t="s">
        <v>295</v>
      </c>
      <c r="E57" s="4">
        <v>80.291970802919693</v>
      </c>
      <c r="F57" s="10">
        <f>INTWAG[[#This Row],[FX Comp 1]]+INTWAG[[#This Row],[FX Comp 2]]</f>
        <v>80.291970802919693</v>
      </c>
      <c r="G57" s="6">
        <f>RANK(INTWAG[[#This Row],[FX League Total]],INTWAG[FX League Total], 0)</f>
        <v>52</v>
      </c>
      <c r="I57" s="4">
        <v>33.093525179856123</v>
      </c>
      <c r="J57" s="10">
        <f>INTWAG[[#This Row],[BB Comp 1]]+INTWAG[[#This Row],[BB Comp 2]]</f>
        <v>33.093525179856123</v>
      </c>
      <c r="K57" s="6">
        <f>RANK(INTWAG[[#This Row],[BB League Total]],INTWAG[BB League Total], 0)</f>
        <v>42</v>
      </c>
      <c r="M57" s="4">
        <v>0</v>
      </c>
      <c r="N57" s="10">
        <f>INTWAG[[#This Row],[UB Comp 1]]+INTWAG[[#This Row],[UB Comp 2]]</f>
        <v>0</v>
      </c>
      <c r="O57" s="6">
        <f>RANK(INTWAG[[#This Row],[UB League Total]],INTWAG[UB League Total], 0)</f>
        <v>20</v>
      </c>
      <c r="Q57" s="4">
        <v>94.932432432432435</v>
      </c>
      <c r="R57" s="10">
        <f>INTWAG[[#This Row],[VT Comp 1]]+INTWAG[[#This Row],[VT Comp 2]]</f>
        <v>94.932432432432435</v>
      </c>
      <c r="S57" s="6">
        <f>RANK(INTWAG[[#This Row],[VT League Total]],INTWAG[VT League Total], 0)</f>
        <v>31</v>
      </c>
      <c r="U57" s="4">
        <v>73.848069738480703</v>
      </c>
      <c r="V57" s="10">
        <f>INTWAG[[#This Row],[AA Comp 1]]+INTWAG[[#This Row],[AA Comp 2]]</f>
        <v>73.848069738480703</v>
      </c>
      <c r="W57" s="6">
        <f>RANK(INTWAG[[#This Row],[AA League Total]],INTWAG[AA League Total], 0)</f>
        <v>56</v>
      </c>
    </row>
    <row r="58" spans="1:23" x14ac:dyDescent="0.2">
      <c r="A58" s="8"/>
      <c r="B58" s="21" t="s">
        <v>247</v>
      </c>
      <c r="C58" t="s">
        <v>290</v>
      </c>
      <c r="D58"/>
      <c r="E58">
        <v>74.452554744525528</v>
      </c>
      <c r="F58" s="10">
        <f>INTWAG[[#This Row],[FX Comp 1]]+INTWAG[[#This Row],[FX Comp 2]]</f>
        <v>74.452554744525528</v>
      </c>
      <c r="G58" s="6">
        <f>RANK(INTWAG[[#This Row],[FX League Total]],INTWAG[FX League Total], 0)</f>
        <v>59</v>
      </c>
      <c r="H58"/>
      <c r="I58" s="4">
        <v>54.676258992805757</v>
      </c>
      <c r="J58" s="10">
        <f>INTWAG[[#This Row],[BB Comp 1]]+INTWAG[[#This Row],[BB Comp 2]]</f>
        <v>54.676258992805757</v>
      </c>
      <c r="K58" s="6">
        <f>RANK(INTWAG[[#This Row],[BB League Total]],INTWAG[BB League Total], 0)</f>
        <v>39</v>
      </c>
      <c r="L58"/>
      <c r="M58">
        <v>0</v>
      </c>
      <c r="N58" s="10">
        <f>INTWAG[[#This Row],[UB Comp 1]]+INTWAG[[#This Row],[UB Comp 2]]</f>
        <v>0</v>
      </c>
      <c r="O58" s="6">
        <f>RANK(INTWAG[[#This Row],[UB League Total]],INTWAG[UB League Total], 0)</f>
        <v>20</v>
      </c>
      <c r="P58"/>
      <c r="Q58">
        <v>73.648648648648646</v>
      </c>
      <c r="R58" s="10">
        <f>INTWAG[[#This Row],[VT Comp 1]]+INTWAG[[#This Row],[VT Comp 2]]</f>
        <v>73.648648648648646</v>
      </c>
      <c r="S58" s="6">
        <f>RANK(INTWAG[[#This Row],[VT League Total]],INTWAG[VT League Total], 0)</f>
        <v>62</v>
      </c>
      <c r="T58"/>
      <c r="U58">
        <v>71.481942714819439</v>
      </c>
      <c r="V58" s="10">
        <f>INTWAG[[#This Row],[AA Comp 1]]+INTWAG[[#This Row],[AA Comp 2]]</f>
        <v>71.481942714819439</v>
      </c>
      <c r="W58" s="6">
        <f>RANK(INTWAG[[#This Row],[AA League Total]],INTWAG[AA League Total], 0)</f>
        <v>57</v>
      </c>
    </row>
    <row r="59" spans="1:23" x14ac:dyDescent="0.2">
      <c r="A59" s="1"/>
      <c r="B59" t="s">
        <v>52</v>
      </c>
      <c r="C59" t="s">
        <v>171</v>
      </c>
      <c r="D59" s="4">
        <v>66.666666666666671</v>
      </c>
      <c r="F59" s="10">
        <f>INTWAG[[#This Row],[FX Comp 1]]+INTWAG[[#This Row],[FX Comp 2]]</f>
        <v>66.666666666666671</v>
      </c>
      <c r="G59" s="6">
        <f>RANK(INTWAG[[#This Row],[FX League Total]],INTWAG[FX League Total], 0)</f>
        <v>62</v>
      </c>
      <c r="H59" s="4">
        <v>0</v>
      </c>
      <c r="J59" s="10">
        <f>INTWAG[[#This Row],[BB Comp 1]]+INTWAG[[#This Row],[BB Comp 2]]</f>
        <v>0</v>
      </c>
      <c r="K59" s="6">
        <f>RANK(INTWAG[[#This Row],[BB League Total]],INTWAG[BB League Total], 0)</f>
        <v>47</v>
      </c>
      <c r="L59" s="4">
        <v>41.463414634146332</v>
      </c>
      <c r="N59" s="10">
        <f>INTWAG[[#This Row],[UB Comp 1]]+INTWAG[[#This Row],[UB Comp 2]]</f>
        <v>41.463414634146332</v>
      </c>
      <c r="O59" s="6">
        <f>RANK(INTWAG[[#This Row],[UB League Total]],INTWAG[UB League Total], 0)</f>
        <v>19</v>
      </c>
      <c r="P59" s="4">
        <v>91.156462585034021</v>
      </c>
      <c r="R59" s="10">
        <f>INTWAG[[#This Row],[VT Comp 1]]+INTWAG[[#This Row],[VT Comp 2]]</f>
        <v>91.156462585034021</v>
      </c>
      <c r="S59" s="6">
        <f>RANK(INTWAG[[#This Row],[VT League Total]],INTWAG[VT League Total], 0)</f>
        <v>39</v>
      </c>
      <c r="T59" s="4">
        <v>69.837296620775959</v>
      </c>
      <c r="V59" s="10">
        <f>INTWAG[[#This Row],[AA Comp 1]]+INTWAG[[#This Row],[AA Comp 2]]</f>
        <v>69.837296620775959</v>
      </c>
      <c r="W59" s="6">
        <f>RANK(INTWAG[[#This Row],[AA League Total]],INTWAG[AA League Total], 0)</f>
        <v>58</v>
      </c>
    </row>
    <row r="60" spans="1:23" x14ac:dyDescent="0.2">
      <c r="A60" s="8"/>
      <c r="B60" t="s">
        <v>50</v>
      </c>
      <c r="C60" t="s">
        <v>186</v>
      </c>
      <c r="D60">
        <v>81.560283687943269</v>
      </c>
      <c r="E60"/>
      <c r="F60" s="10">
        <f>INTWAG[[#This Row],[FX Comp 1]]+INTWAG[[#This Row],[FX Comp 2]]</f>
        <v>81.560283687943269</v>
      </c>
      <c r="G60" s="6">
        <f>RANK(INTWAG[[#This Row],[FX League Total]],INTWAG[FX League Total], 0)</f>
        <v>47</v>
      </c>
      <c r="H60">
        <v>0</v>
      </c>
      <c r="I60"/>
      <c r="J60" s="10">
        <f>INTWAG[[#This Row],[BB Comp 1]]+INTWAG[[#This Row],[BB Comp 2]]</f>
        <v>0</v>
      </c>
      <c r="K60" s="6">
        <f>RANK(INTWAG[[#This Row],[BB League Total]],INTWAG[BB League Total], 0)</f>
        <v>47</v>
      </c>
      <c r="L60">
        <v>0</v>
      </c>
      <c r="M60"/>
      <c r="N60" s="10">
        <f>INTWAG[[#This Row],[UB Comp 1]]+INTWAG[[#This Row],[UB Comp 2]]</f>
        <v>0</v>
      </c>
      <c r="O60" s="6">
        <f>RANK(INTWAG[[#This Row],[UB League Total]],INTWAG[UB League Total], 0)</f>
        <v>20</v>
      </c>
      <c r="P60">
        <v>96.938775510204096</v>
      </c>
      <c r="Q60"/>
      <c r="R60" s="10">
        <f>INTWAG[[#This Row],[VT Comp 1]]+INTWAG[[#This Row],[VT Comp 2]]</f>
        <v>96.938775510204096</v>
      </c>
      <c r="S60" s="6">
        <f>RANK(INTWAG[[#This Row],[VT League Total]],INTWAG[VT League Total], 0)</f>
        <v>25</v>
      </c>
      <c r="T60">
        <v>64.455569461827281</v>
      </c>
      <c r="U60"/>
      <c r="V60" s="10">
        <f>INTWAG[[#This Row],[AA Comp 1]]+INTWAG[[#This Row],[AA Comp 2]]</f>
        <v>64.455569461827281</v>
      </c>
      <c r="W60" s="6">
        <f>RANK(INTWAG[[#This Row],[AA League Total]],INTWAG[AA League Total], 0)</f>
        <v>59</v>
      </c>
    </row>
    <row r="61" spans="1:23" x14ac:dyDescent="0.2">
      <c r="A61" s="1"/>
      <c r="B61" t="s">
        <v>78</v>
      </c>
      <c r="C61" t="s">
        <v>150</v>
      </c>
      <c r="D61" s="4">
        <v>87.943262411347519</v>
      </c>
      <c r="F61" s="10">
        <f>INTWAG[[#This Row],[FX Comp 1]]+INTWAG[[#This Row],[FX Comp 2]]</f>
        <v>87.943262411347519</v>
      </c>
      <c r="G61" s="6">
        <f>RANK(INTWAG[[#This Row],[FX League Total]],INTWAG[FX League Total], 0)</f>
        <v>34</v>
      </c>
      <c r="H61" s="4">
        <v>0</v>
      </c>
      <c r="J61" s="10">
        <f>INTWAG[[#This Row],[BB Comp 1]]+INTWAG[[#This Row],[BB Comp 2]]</f>
        <v>0</v>
      </c>
      <c r="K61" s="6">
        <f>RANK(INTWAG[[#This Row],[BB League Total]],INTWAG[BB League Total], 0)</f>
        <v>47</v>
      </c>
      <c r="L61" s="4">
        <v>0</v>
      </c>
      <c r="N61" s="10">
        <f>INTWAG[[#This Row],[UB Comp 1]]+INTWAG[[#This Row],[UB Comp 2]]</f>
        <v>0</v>
      </c>
      <c r="O61" s="6">
        <f>RANK(INTWAG[[#This Row],[UB League Total]],INTWAG[UB League Total], 0)</f>
        <v>20</v>
      </c>
      <c r="P61" s="4">
        <v>89.115646258503403</v>
      </c>
      <c r="R61" s="10">
        <f>INTWAG[[#This Row],[VT Comp 1]]+INTWAG[[#This Row],[VT Comp 2]]</f>
        <v>89.115646258503403</v>
      </c>
      <c r="S61" s="6">
        <f>RANK(INTWAG[[#This Row],[VT League Total]],INTWAG[VT League Total], 0)</f>
        <v>41</v>
      </c>
      <c r="T61" s="4">
        <v>63.829787234042549</v>
      </c>
      <c r="V61" s="10">
        <f>INTWAG[[#This Row],[AA Comp 1]]+INTWAG[[#This Row],[AA Comp 2]]</f>
        <v>63.829787234042549</v>
      </c>
      <c r="W61" s="6">
        <f>RANK(INTWAG[[#This Row],[AA League Total]],INTWAG[AA League Total], 0)</f>
        <v>60</v>
      </c>
    </row>
    <row r="62" spans="1:23" x14ac:dyDescent="0.2">
      <c r="A62" s="8"/>
      <c r="B62" t="s">
        <v>64</v>
      </c>
      <c r="C62" t="s">
        <v>281</v>
      </c>
      <c r="D62"/>
      <c r="E62">
        <v>61.313868613138688</v>
      </c>
      <c r="F62" s="10">
        <f>INTWAG[[#This Row],[FX Comp 1]]+INTWAG[[#This Row],[FX Comp 2]]</f>
        <v>61.313868613138688</v>
      </c>
      <c r="G62" s="6">
        <f>RANK(INTWAG[[#This Row],[FX League Total]],INTWAG[FX League Total], 0)</f>
        <v>66</v>
      </c>
      <c r="H62"/>
      <c r="I62">
        <v>31.654676258992808</v>
      </c>
      <c r="J62" s="10">
        <f>INTWAG[[#This Row],[BB Comp 1]]+INTWAG[[#This Row],[BB Comp 2]]</f>
        <v>31.654676258992808</v>
      </c>
      <c r="K62" s="6">
        <f>RANK(INTWAG[[#This Row],[BB League Total]],INTWAG[BB League Total], 0)</f>
        <v>43</v>
      </c>
      <c r="L62"/>
      <c r="M62">
        <v>0</v>
      </c>
      <c r="N62" s="10">
        <f>INTWAG[[#This Row],[UB Comp 1]]+INTWAG[[#This Row],[UB Comp 2]]</f>
        <v>0</v>
      </c>
      <c r="O62" s="6">
        <f>RANK(INTWAG[[#This Row],[UB League Total]],INTWAG[UB League Total], 0)</f>
        <v>20</v>
      </c>
      <c r="P62"/>
      <c r="Q62">
        <v>77.027027027027032</v>
      </c>
      <c r="R62" s="10">
        <f>INTWAG[[#This Row],[VT Comp 1]]+INTWAG[[#This Row],[VT Comp 2]]</f>
        <v>77.027027027027032</v>
      </c>
      <c r="S62" s="6">
        <f>RANK(INTWAG[[#This Row],[VT League Total]],INTWAG[VT League Total], 0)</f>
        <v>59</v>
      </c>
      <c r="T62"/>
      <c r="U62">
        <v>60.273972602739732</v>
      </c>
      <c r="V62" s="10">
        <f>INTWAG[[#This Row],[AA Comp 1]]+INTWAG[[#This Row],[AA Comp 2]]</f>
        <v>60.273972602739732</v>
      </c>
      <c r="W62" s="6">
        <f>RANK(INTWAG[[#This Row],[AA League Total]],INTWAG[AA League Total], 0)</f>
        <v>61</v>
      </c>
    </row>
    <row r="63" spans="1:23" x14ac:dyDescent="0.2">
      <c r="A63" s="1"/>
      <c r="B63" t="s">
        <v>51</v>
      </c>
      <c r="C63" t="s">
        <v>205</v>
      </c>
      <c r="D63"/>
      <c r="E63">
        <v>86.861313868613138</v>
      </c>
      <c r="F63" s="10">
        <f>INTWAG[[#This Row],[FX Comp 1]]+INTWAG[[#This Row],[FX Comp 2]]</f>
        <v>86.861313868613138</v>
      </c>
      <c r="G63" s="6">
        <f>RANK(INTWAG[[#This Row],[FX League Total]],INTWAG[FX League Total], 0)</f>
        <v>36</v>
      </c>
      <c r="H63"/>
      <c r="I63">
        <v>0</v>
      </c>
      <c r="J63" s="10">
        <f>INTWAG[[#This Row],[BB Comp 1]]+INTWAG[[#This Row],[BB Comp 2]]</f>
        <v>0</v>
      </c>
      <c r="K63" s="6">
        <f>RANK(INTWAG[[#This Row],[BB League Total]],INTWAG[BB League Total], 0)</f>
        <v>47</v>
      </c>
      <c r="L63"/>
      <c r="M63">
        <v>0</v>
      </c>
      <c r="N63" s="10">
        <f>INTWAG[[#This Row],[UB Comp 1]]+INTWAG[[#This Row],[UB Comp 2]]</f>
        <v>0</v>
      </c>
      <c r="O63" s="6">
        <f>RANK(INTWAG[[#This Row],[UB League Total]],INTWAG[UB League Total], 0)</f>
        <v>20</v>
      </c>
      <c r="P63"/>
      <c r="Q63">
        <v>78.71621621621621</v>
      </c>
      <c r="R63" s="10">
        <f>INTWAG[[#This Row],[VT Comp 1]]+INTWAG[[#This Row],[VT Comp 2]]</f>
        <v>78.71621621621621</v>
      </c>
      <c r="S63" s="6">
        <f>RANK(INTWAG[[#This Row],[VT League Total]],INTWAG[VT League Total], 0)</f>
        <v>55</v>
      </c>
      <c r="T63"/>
      <c r="U63">
        <v>58.655043586550434</v>
      </c>
      <c r="V63" s="10">
        <f>INTWAG[[#This Row],[AA Comp 1]]+INTWAG[[#This Row],[AA Comp 2]]</f>
        <v>58.655043586550434</v>
      </c>
      <c r="W63" s="6">
        <f>RANK(INTWAG[[#This Row],[AA League Total]],INTWAG[AA League Total], 0)</f>
        <v>62</v>
      </c>
    </row>
    <row r="64" spans="1:23" x14ac:dyDescent="0.2">
      <c r="A64" s="8"/>
      <c r="B64" t="s">
        <v>42</v>
      </c>
      <c r="C64" t="s">
        <v>300</v>
      </c>
      <c r="D64"/>
      <c r="E64">
        <v>59.124087591240873</v>
      </c>
      <c r="F64" s="10">
        <f>INTWAG[[#This Row],[FX Comp 1]]+INTWAG[[#This Row],[FX Comp 2]]</f>
        <v>59.124087591240873</v>
      </c>
      <c r="G64" s="6">
        <f>RANK(INTWAG[[#This Row],[FX League Total]],INTWAG[FX League Total], 0)</f>
        <v>68</v>
      </c>
      <c r="H64"/>
      <c r="I64" s="4">
        <v>30.935251798561147</v>
      </c>
      <c r="J64" s="10">
        <f>INTWAG[[#This Row],[BB Comp 1]]+INTWAG[[#This Row],[BB Comp 2]]</f>
        <v>30.935251798561147</v>
      </c>
      <c r="K64" s="6">
        <f>RANK(INTWAG[[#This Row],[BB League Total]],INTWAG[BB League Total], 0)</f>
        <v>44</v>
      </c>
      <c r="L64"/>
      <c r="M64">
        <v>0</v>
      </c>
      <c r="N64" s="10">
        <f>INTWAG[[#This Row],[UB Comp 1]]+INTWAG[[#This Row],[UB Comp 2]]</f>
        <v>0</v>
      </c>
      <c r="O64" s="6">
        <f>RANK(INTWAG[[#This Row],[UB League Total]],INTWAG[UB League Total], 0)</f>
        <v>20</v>
      </c>
      <c r="P64"/>
      <c r="Q64">
        <v>71.621621621621614</v>
      </c>
      <c r="R64" s="10">
        <f>INTWAG[[#This Row],[VT Comp 1]]+INTWAG[[#This Row],[VT Comp 2]]</f>
        <v>71.621621621621614</v>
      </c>
      <c r="S64" s="6">
        <f>RANK(INTWAG[[#This Row],[VT League Total]],INTWAG[VT League Total], 0)</f>
        <v>64</v>
      </c>
      <c r="T64"/>
      <c r="U64">
        <v>57.285180572851814</v>
      </c>
      <c r="V64" s="10">
        <f>INTWAG[[#This Row],[AA Comp 1]]+INTWAG[[#This Row],[AA Comp 2]]</f>
        <v>57.285180572851814</v>
      </c>
      <c r="W64" s="6">
        <f>RANK(INTWAG[[#This Row],[AA League Total]],INTWAG[AA League Total], 0)</f>
        <v>63</v>
      </c>
    </row>
    <row r="65" spans="1:23" x14ac:dyDescent="0.2">
      <c r="A65" s="8"/>
      <c r="B65" s="4" t="s">
        <v>235</v>
      </c>
      <c r="C65" s="4" t="s">
        <v>296</v>
      </c>
      <c r="E65" s="4">
        <v>61.313868613138688</v>
      </c>
      <c r="F65" s="10">
        <f>INTWAG[[#This Row],[FX Comp 1]]+INTWAG[[#This Row],[FX Comp 2]]</f>
        <v>61.313868613138688</v>
      </c>
      <c r="G65" s="6">
        <f>RANK(INTWAG[[#This Row],[FX League Total]],INTWAG[FX League Total], 0)</f>
        <v>66</v>
      </c>
      <c r="I65" s="4">
        <v>16.546762589928054</v>
      </c>
      <c r="J65" s="10">
        <f>INTWAG[[#This Row],[BB Comp 1]]+INTWAG[[#This Row],[BB Comp 2]]</f>
        <v>16.546762589928054</v>
      </c>
      <c r="K65" s="6">
        <f>RANK(INTWAG[[#This Row],[BB League Total]],INTWAG[BB League Total], 0)</f>
        <v>46</v>
      </c>
      <c r="M65" s="4">
        <v>0</v>
      </c>
      <c r="N65" s="10">
        <f>INTWAG[[#This Row],[UB Comp 1]]+INTWAG[[#This Row],[UB Comp 2]]</f>
        <v>0</v>
      </c>
      <c r="O65" s="6">
        <f>RANK(INTWAG[[#This Row],[UB League Total]],INTWAG[UB League Total], 0)</f>
        <v>20</v>
      </c>
      <c r="Q65" s="4">
        <v>82.094594594594597</v>
      </c>
      <c r="R65" s="10">
        <f>INTWAG[[#This Row],[VT Comp 1]]+INTWAG[[#This Row],[VT Comp 2]]</f>
        <v>82.094594594594597</v>
      </c>
      <c r="S65" s="6">
        <f>RANK(INTWAG[[#This Row],[VT League Total]],INTWAG[VT League Total], 0)</f>
        <v>50</v>
      </c>
      <c r="U65" s="4">
        <v>56.911581569115825</v>
      </c>
      <c r="V65" s="10">
        <f>INTWAG[[#This Row],[AA Comp 1]]+INTWAG[[#This Row],[AA Comp 2]]</f>
        <v>56.911581569115825</v>
      </c>
      <c r="W65" s="6">
        <f>RANK(INTWAG[[#This Row],[AA League Total]],INTWAG[AA League Total], 0)</f>
        <v>64</v>
      </c>
    </row>
    <row r="66" spans="1:23" x14ac:dyDescent="0.2">
      <c r="A66" s="1"/>
      <c r="B66" t="s">
        <v>50</v>
      </c>
      <c r="C66" t="s">
        <v>299</v>
      </c>
      <c r="E66" s="4">
        <v>78.102189781021906</v>
      </c>
      <c r="F66" s="10">
        <f>INTWAG[[#This Row],[FX Comp 1]]+INTWAG[[#This Row],[FX Comp 2]]</f>
        <v>78.102189781021906</v>
      </c>
      <c r="G66" s="6">
        <f>RANK(INTWAG[[#This Row],[FX League Total]],INTWAG[FX League Total], 0)</f>
        <v>53</v>
      </c>
      <c r="I66" s="4">
        <v>0</v>
      </c>
      <c r="J66" s="10">
        <f>INTWAG[[#This Row],[BB Comp 1]]+INTWAG[[#This Row],[BB Comp 2]]</f>
        <v>0</v>
      </c>
      <c r="K66" s="6">
        <f>RANK(INTWAG[[#This Row],[BB League Total]],INTWAG[BB League Total], 0)</f>
        <v>47</v>
      </c>
      <c r="M66" s="4">
        <v>0</v>
      </c>
      <c r="N66" s="10">
        <f>INTWAG[[#This Row],[UB Comp 1]]+INTWAG[[#This Row],[UB Comp 2]]</f>
        <v>0</v>
      </c>
      <c r="O66" s="6">
        <f>RANK(INTWAG[[#This Row],[UB League Total]],INTWAG[UB League Total], 0)</f>
        <v>20</v>
      </c>
      <c r="Q66" s="4">
        <v>77.702702702702695</v>
      </c>
      <c r="R66" s="10">
        <f>INTWAG[[#This Row],[VT Comp 1]]+INTWAG[[#This Row],[VT Comp 2]]</f>
        <v>77.702702702702695</v>
      </c>
      <c r="S66" s="6">
        <f>RANK(INTWAG[[#This Row],[VT League Total]],INTWAG[VT League Total], 0)</f>
        <v>57</v>
      </c>
      <c r="U66" s="4">
        <v>55.292652552926533</v>
      </c>
      <c r="V66" s="10">
        <f>INTWAG[[#This Row],[AA Comp 1]]+INTWAG[[#This Row],[AA Comp 2]]</f>
        <v>55.292652552926533</v>
      </c>
      <c r="W66" s="6">
        <f>RANK(INTWAG[[#This Row],[AA League Total]],INTWAG[AA League Total], 0)</f>
        <v>65</v>
      </c>
    </row>
    <row r="67" spans="1:23" x14ac:dyDescent="0.2">
      <c r="A67" s="1"/>
      <c r="B67" t="s">
        <v>42</v>
      </c>
      <c r="C67" t="s">
        <v>298</v>
      </c>
      <c r="D67"/>
      <c r="E67">
        <v>81.021897810218974</v>
      </c>
      <c r="F67" s="10">
        <f>INTWAG[[#This Row],[FX Comp 1]]+INTWAG[[#This Row],[FX Comp 2]]</f>
        <v>81.021897810218974</v>
      </c>
      <c r="G67" s="6">
        <f>RANK(INTWAG[[#This Row],[FX League Total]],INTWAG[FX League Total], 0)</f>
        <v>49</v>
      </c>
      <c r="H67"/>
      <c r="I67">
        <v>0</v>
      </c>
      <c r="J67" s="10">
        <f>INTWAG[[#This Row],[BB Comp 1]]+INTWAG[[#This Row],[BB Comp 2]]</f>
        <v>0</v>
      </c>
      <c r="K67" s="6">
        <f>RANK(INTWAG[[#This Row],[BB League Total]],INTWAG[BB League Total], 0)</f>
        <v>47</v>
      </c>
      <c r="L67"/>
      <c r="M67" s="4">
        <v>0</v>
      </c>
      <c r="N67" s="10">
        <f>INTWAG[[#This Row],[UB Comp 1]]+INTWAG[[#This Row],[UB Comp 2]]</f>
        <v>0</v>
      </c>
      <c r="O67" s="6">
        <f>RANK(INTWAG[[#This Row],[UB League Total]],INTWAG[UB League Total], 0)</f>
        <v>20</v>
      </c>
      <c r="P67"/>
      <c r="Q67">
        <v>70.608108108108098</v>
      </c>
      <c r="R67" s="10">
        <f>INTWAG[[#This Row],[VT Comp 1]]+INTWAG[[#This Row],[VT Comp 2]]</f>
        <v>70.608108108108098</v>
      </c>
      <c r="S67" s="6">
        <f>RANK(INTWAG[[#This Row],[VT League Total]],INTWAG[VT League Total], 0)</f>
        <v>65</v>
      </c>
      <c r="T67"/>
      <c r="U67">
        <v>53.673723536737242</v>
      </c>
      <c r="V67" s="10">
        <f>INTWAG[[#This Row],[AA Comp 1]]+INTWAG[[#This Row],[AA Comp 2]]</f>
        <v>53.673723536737242</v>
      </c>
      <c r="W67" s="6">
        <f>RANK(INTWAG[[#This Row],[AA League Total]],INTWAG[AA League Total], 0)</f>
        <v>66</v>
      </c>
    </row>
    <row r="68" spans="1:23" x14ac:dyDescent="0.2">
      <c r="A68" s="1"/>
      <c r="B68" t="s">
        <v>64</v>
      </c>
      <c r="C68" t="s">
        <v>148</v>
      </c>
      <c r="D68" s="4">
        <v>61.702127659574465</v>
      </c>
      <c r="F68" s="10">
        <f>INTWAG[[#This Row],[FX Comp 1]]+INTWAG[[#This Row],[FX Comp 2]]</f>
        <v>61.702127659574465</v>
      </c>
      <c r="G68" s="6">
        <f>RANK(INTWAG[[#This Row],[FX League Total]],INTWAG[FX League Total], 0)</f>
        <v>65</v>
      </c>
      <c r="H68" s="4">
        <v>70.722433460076047</v>
      </c>
      <c r="J68" s="10">
        <f>INTWAG[[#This Row],[BB Comp 1]]+INTWAG[[#This Row],[BB Comp 2]]</f>
        <v>70.722433460076047</v>
      </c>
      <c r="K68" s="6">
        <f>RANK(INTWAG[[#This Row],[BB League Total]],INTWAG[BB League Total], 0)</f>
        <v>32</v>
      </c>
      <c r="L68" s="4">
        <v>0</v>
      </c>
      <c r="N68" s="10">
        <f>INTWAG[[#This Row],[UB Comp 1]]+INTWAG[[#This Row],[UB Comp 2]]</f>
        <v>0</v>
      </c>
      <c r="O68" s="6">
        <f>RANK(INTWAG[[#This Row],[UB League Total]],INTWAG[UB League Total], 0)</f>
        <v>20</v>
      </c>
      <c r="P68" s="4">
        <v>0</v>
      </c>
      <c r="R68" s="10">
        <f>INTWAG[[#This Row],[VT Comp 1]]+INTWAG[[#This Row],[VT Comp 2]]</f>
        <v>0</v>
      </c>
      <c r="S68" s="6">
        <f>RANK(INTWAG[[#This Row],[VT League Total]],INTWAG[VT League Total], 0)</f>
        <v>66</v>
      </c>
      <c r="T68" s="4">
        <v>45.056320400500624</v>
      </c>
      <c r="V68" s="10">
        <f>INTWAG[[#This Row],[AA Comp 1]]+INTWAG[[#This Row],[AA Comp 2]]</f>
        <v>45.056320400500624</v>
      </c>
      <c r="W68" s="6">
        <f>RANK(INTWAG[[#This Row],[AA League Total]],INTWAG[AA League Total], 0)</f>
        <v>67</v>
      </c>
    </row>
    <row r="69" spans="1:23" x14ac:dyDescent="0.2">
      <c r="A69" s="1"/>
      <c r="B69" t="s">
        <v>51</v>
      </c>
      <c r="C69" t="s">
        <v>183</v>
      </c>
      <c r="D69" s="4">
        <v>62.411347517730498</v>
      </c>
      <c r="F69" s="10">
        <f>INTWAG[[#This Row],[FX Comp 1]]+INTWAG[[#This Row],[FX Comp 2]]</f>
        <v>62.411347517730498</v>
      </c>
      <c r="G69" s="6">
        <f>RANK(INTWAG[[#This Row],[FX League Total]],INTWAG[FX League Total], 0)</f>
        <v>64</v>
      </c>
      <c r="H69" s="4">
        <v>58.555133079847913</v>
      </c>
      <c r="J69" s="10">
        <f>INTWAG[[#This Row],[BB Comp 1]]+INTWAG[[#This Row],[BB Comp 2]]</f>
        <v>58.555133079847913</v>
      </c>
      <c r="K69" s="6">
        <f>RANK(INTWAG[[#This Row],[BB League Total]],INTWAG[BB League Total], 0)</f>
        <v>35</v>
      </c>
      <c r="L69" s="4">
        <v>0</v>
      </c>
      <c r="N69" s="10">
        <f>INTWAG[[#This Row],[UB Comp 1]]+INTWAG[[#This Row],[UB Comp 2]]</f>
        <v>0</v>
      </c>
      <c r="O69" s="6">
        <f>RANK(INTWAG[[#This Row],[UB League Total]],INTWAG[UB League Total], 0)</f>
        <v>20</v>
      </c>
      <c r="P69" s="4">
        <v>0</v>
      </c>
      <c r="R69" s="10">
        <f>INTWAG[[#This Row],[VT Comp 1]]+INTWAG[[#This Row],[VT Comp 2]]</f>
        <v>0</v>
      </c>
      <c r="S69" s="6">
        <f>RANK(INTWAG[[#This Row],[VT League Total]],INTWAG[VT League Total], 0)</f>
        <v>66</v>
      </c>
      <c r="T69" s="4">
        <v>41.301627033792236</v>
      </c>
      <c r="V69" s="10">
        <f>INTWAG[[#This Row],[AA Comp 1]]+INTWAG[[#This Row],[AA Comp 2]]</f>
        <v>41.301627033792236</v>
      </c>
      <c r="W69" s="6">
        <f>RANK(INTWAG[[#This Row],[AA League Total]],INTWAG[AA League Total], 0)</f>
        <v>68</v>
      </c>
    </row>
    <row r="70" spans="1:23" x14ac:dyDescent="0.2">
      <c r="A70" s="1"/>
      <c r="B70" t="s">
        <v>63</v>
      </c>
      <c r="C70" t="s">
        <v>179</v>
      </c>
      <c r="D70" s="4">
        <v>81.560283687943269</v>
      </c>
      <c r="F70" s="10">
        <f>INTWAG[[#This Row],[FX Comp 1]]+INTWAG[[#This Row],[FX Comp 2]]</f>
        <v>81.560283687943269</v>
      </c>
      <c r="G70" s="6">
        <f>RANK(INTWAG[[#This Row],[FX League Total]],INTWAG[FX League Total], 0)</f>
        <v>47</v>
      </c>
      <c r="H70" s="4">
        <v>0</v>
      </c>
      <c r="J70" s="10">
        <f>INTWAG[[#This Row],[BB Comp 1]]+INTWAG[[#This Row],[BB Comp 2]]</f>
        <v>0</v>
      </c>
      <c r="K70" s="6">
        <f>RANK(INTWAG[[#This Row],[BB League Total]],INTWAG[BB League Total], 0)</f>
        <v>47</v>
      </c>
      <c r="L70" s="4">
        <v>0</v>
      </c>
      <c r="N70" s="10">
        <f>INTWAG[[#This Row],[UB Comp 1]]+INTWAG[[#This Row],[UB Comp 2]]</f>
        <v>0</v>
      </c>
      <c r="O70" s="6">
        <f>RANK(INTWAG[[#This Row],[UB League Total]],INTWAG[UB League Total], 0)</f>
        <v>20</v>
      </c>
      <c r="P70" s="4">
        <v>0</v>
      </c>
      <c r="R70" s="10">
        <f>INTWAG[[#This Row],[VT Comp 1]]+INTWAG[[#This Row],[VT Comp 2]]</f>
        <v>0</v>
      </c>
      <c r="S70" s="6">
        <f>RANK(INTWAG[[#This Row],[VT League Total]],INTWAG[VT League Total], 0)</f>
        <v>66</v>
      </c>
      <c r="T70" s="4">
        <v>28.785982478097623</v>
      </c>
      <c r="V70" s="10">
        <f>INTWAG[[#This Row],[AA Comp 1]]+INTWAG[[#This Row],[AA Comp 2]]</f>
        <v>28.785982478097623</v>
      </c>
      <c r="W70" s="6">
        <f>RANK(INTWAG[[#This Row],[AA League Total]],INTWAG[AA League Total], 0)</f>
        <v>69</v>
      </c>
    </row>
    <row r="71" spans="1:23" x14ac:dyDescent="0.2">
      <c r="A71" s="1"/>
      <c r="B71" t="s">
        <v>53</v>
      </c>
      <c r="C71" t="s">
        <v>190</v>
      </c>
      <c r="D71" s="4">
        <v>0</v>
      </c>
      <c r="F71" s="10">
        <f>INTWAG[[#This Row],[FX Comp 1]]+INTWAG[[#This Row],[FX Comp 2]]</f>
        <v>0</v>
      </c>
      <c r="G71" s="6">
        <f>RANK(INTWAG[[#This Row],[FX League Total]],INTWAG[FX League Total], 0)</f>
        <v>70</v>
      </c>
      <c r="H71" s="4">
        <v>0</v>
      </c>
      <c r="J71" s="10">
        <f>INTWAG[[#This Row],[BB Comp 1]]+INTWAG[[#This Row],[BB Comp 2]]</f>
        <v>0</v>
      </c>
      <c r="K71" s="6">
        <f>RANK(INTWAG[[#This Row],[BB League Total]],INTWAG[BB League Total], 0)</f>
        <v>47</v>
      </c>
      <c r="L71" s="4">
        <v>0</v>
      </c>
      <c r="N71" s="10">
        <f>INTWAG[[#This Row],[UB Comp 1]]+INTWAG[[#This Row],[UB Comp 2]]</f>
        <v>0</v>
      </c>
      <c r="O71" s="6">
        <f>RANK(INTWAG[[#This Row],[UB League Total]],INTWAG[UB League Total], 0)</f>
        <v>20</v>
      </c>
      <c r="P71" s="4">
        <v>0</v>
      </c>
      <c r="R71" s="10">
        <f>INTWAG[[#This Row],[VT Comp 1]]+INTWAG[[#This Row],[VT Comp 2]]</f>
        <v>0</v>
      </c>
      <c r="S71" s="6">
        <f>RANK(INTWAG[[#This Row],[VT League Total]],INTWAG[VT League Total], 0)</f>
        <v>66</v>
      </c>
      <c r="T71" s="4">
        <v>0</v>
      </c>
      <c r="V71" s="10">
        <f>INTWAG[[#This Row],[AA Comp 1]]+INTWAG[[#This Row],[AA Comp 2]]</f>
        <v>0</v>
      </c>
      <c r="W71" s="6">
        <f>RANK(INTWAG[[#This Row],[AA League Total]],INTWAG[AA League Total], 0)</f>
        <v>70</v>
      </c>
    </row>
    <row r="72" spans="1:23" x14ac:dyDescent="0.2">
      <c r="A72" s="1" t="s">
        <v>41</v>
      </c>
      <c r="B72" t="s">
        <v>79</v>
      </c>
      <c r="C72" t="s">
        <v>162</v>
      </c>
      <c r="D72" s="4">
        <v>0</v>
      </c>
      <c r="F72" s="10">
        <f>INTWAG[[#This Row],[FX Comp 1]]+INTWAG[[#This Row],[FX Comp 2]]</f>
        <v>0</v>
      </c>
      <c r="G72" s="6">
        <f>RANK(INTWAG[[#This Row],[FX League Total]],INTWAG[FX League Total], 0)</f>
        <v>70</v>
      </c>
      <c r="H72" s="4">
        <v>0</v>
      </c>
      <c r="J72" s="10">
        <f>INTWAG[[#This Row],[BB Comp 1]]+INTWAG[[#This Row],[BB Comp 2]]</f>
        <v>0</v>
      </c>
      <c r="K72" s="6">
        <f>RANK(INTWAG[[#This Row],[BB League Total]],INTWAG[BB League Total], 0)</f>
        <v>47</v>
      </c>
      <c r="L72" s="4">
        <v>0</v>
      </c>
      <c r="N72" s="10">
        <f>INTWAG[[#This Row],[UB Comp 1]]+INTWAG[[#This Row],[UB Comp 2]]</f>
        <v>0</v>
      </c>
      <c r="O72" s="6">
        <f>RANK(INTWAG[[#This Row],[UB League Total]],INTWAG[UB League Total], 0)</f>
        <v>20</v>
      </c>
      <c r="P72" s="4">
        <v>0</v>
      </c>
      <c r="R72" s="10">
        <f>INTWAG[[#This Row],[VT Comp 1]]+INTWAG[[#This Row],[VT Comp 2]]</f>
        <v>0</v>
      </c>
      <c r="S72" s="6">
        <f>RANK(INTWAG[[#This Row],[VT League Total]],INTWAG[VT League Total], 0)</f>
        <v>66</v>
      </c>
      <c r="T72" s="4">
        <v>0</v>
      </c>
      <c r="V72" s="10">
        <f>INTWAG[[#This Row],[AA Comp 1]]+INTWAG[[#This Row],[AA Comp 2]]</f>
        <v>0</v>
      </c>
      <c r="W72" s="6">
        <f>RANK(INTWAG[[#This Row],[AA League Total]],INTWAG[AA League Total], 0)</f>
        <v>70</v>
      </c>
    </row>
    <row r="73" spans="1:23" x14ac:dyDescent="0.2">
      <c r="A73" s="8"/>
      <c r="B73" t="s">
        <v>42</v>
      </c>
      <c r="C73" t="s">
        <v>280</v>
      </c>
      <c r="D73"/>
      <c r="E73"/>
      <c r="F73" s="10">
        <f>INTWAG[[#This Row],[FX Comp 1]]+INTWAG[[#This Row],[FX Comp 2]]</f>
        <v>0</v>
      </c>
      <c r="G73" s="6">
        <f>RANK(INTWAG[[#This Row],[FX League Total]],INTWAG[FX League Total], 0)</f>
        <v>70</v>
      </c>
      <c r="H73"/>
      <c r="I73">
        <v>30.935251798561147</v>
      </c>
      <c r="J73" s="10">
        <f>INTWAG[[#This Row],[BB Comp 1]]+INTWAG[[#This Row],[BB Comp 2]]</f>
        <v>30.935251798561147</v>
      </c>
      <c r="K73" s="6">
        <f>RANK(INTWAG[[#This Row],[BB League Total]],INTWAG[BB League Total], 0)</f>
        <v>44</v>
      </c>
      <c r="L73"/>
      <c r="M73"/>
      <c r="N73" s="10">
        <f>INTWAG[[#This Row],[UB Comp 1]]+INTWAG[[#This Row],[UB Comp 2]]</f>
        <v>0</v>
      </c>
      <c r="O73" s="6">
        <f>RANK(INTWAG[[#This Row],[UB League Total]],INTWAG[UB League Total], 0)</f>
        <v>20</v>
      </c>
      <c r="P73"/>
      <c r="Q73"/>
      <c r="R73" s="10">
        <f>INTWAG[[#This Row],[VT Comp 1]]+INTWAG[[#This Row],[VT Comp 2]]</f>
        <v>0</v>
      </c>
      <c r="S73" s="6">
        <f>RANK(INTWAG[[#This Row],[VT League Total]],INTWAG[VT League Total], 0)</f>
        <v>66</v>
      </c>
      <c r="T73"/>
      <c r="U73"/>
      <c r="V73" s="10">
        <f>INTWAG[[#This Row],[AA Comp 1]]+INTWAG[[#This Row],[AA Comp 2]]</f>
        <v>0</v>
      </c>
      <c r="W73" s="6">
        <f>RANK(INTWAG[[#This Row],[AA League Total]],INTWAG[AA League Total], 0)</f>
        <v>70</v>
      </c>
    </row>
    <row r="74" spans="1:23" x14ac:dyDescent="0.2">
      <c r="A74" s="1"/>
      <c r="B74" t="s">
        <v>79</v>
      </c>
      <c r="C74" t="s">
        <v>155</v>
      </c>
      <c r="D74" s="4">
        <v>0</v>
      </c>
      <c r="F74" s="10">
        <f>INTWAG[[#This Row],[FX Comp 1]]+INTWAG[[#This Row],[FX Comp 2]]</f>
        <v>0</v>
      </c>
      <c r="G74" s="6">
        <f>RANK(INTWAG[[#This Row],[FX League Total]],INTWAG[FX League Total], 0)</f>
        <v>70</v>
      </c>
      <c r="H74" s="4">
        <v>0</v>
      </c>
      <c r="J74" s="10">
        <f>INTWAG[[#This Row],[BB Comp 1]]+INTWAG[[#This Row],[BB Comp 2]]</f>
        <v>0</v>
      </c>
      <c r="K74" s="6">
        <f>RANK(INTWAG[[#This Row],[BB League Total]],INTWAG[BB League Total], 0)</f>
        <v>47</v>
      </c>
      <c r="L74" s="4">
        <v>0</v>
      </c>
      <c r="N74" s="10">
        <f>INTWAG[[#This Row],[UB Comp 1]]+INTWAG[[#This Row],[UB Comp 2]]</f>
        <v>0</v>
      </c>
      <c r="O74" s="6">
        <f>RANK(INTWAG[[#This Row],[UB League Total]],INTWAG[UB League Total], 0)</f>
        <v>20</v>
      </c>
      <c r="P74" s="4">
        <v>0</v>
      </c>
      <c r="R74" s="10">
        <f>INTWAG[[#This Row],[VT Comp 1]]+INTWAG[[#This Row],[VT Comp 2]]</f>
        <v>0</v>
      </c>
      <c r="S74" s="6">
        <f>RANK(INTWAG[[#This Row],[VT League Total]],INTWAG[VT League Total], 0)</f>
        <v>66</v>
      </c>
      <c r="T74" s="4">
        <v>0</v>
      </c>
      <c r="V74" s="10">
        <f>INTWAG[[#This Row],[AA Comp 1]]+INTWAG[[#This Row],[AA Comp 2]]</f>
        <v>0</v>
      </c>
      <c r="W74" s="6">
        <f>RANK(INTWAG[[#This Row],[AA League Total]],INTWAG[AA League Total], 0)</f>
        <v>70</v>
      </c>
    </row>
    <row r="75" spans="1:23" x14ac:dyDescent="0.2">
      <c r="A75" s="1"/>
      <c r="B75" t="s">
        <v>51</v>
      </c>
      <c r="C75" t="s">
        <v>182</v>
      </c>
      <c r="D75" s="4">
        <v>0</v>
      </c>
      <c r="F75" s="10">
        <f>INTWAG[[#This Row],[FX Comp 1]]+INTWAG[[#This Row],[FX Comp 2]]</f>
        <v>0</v>
      </c>
      <c r="G75" s="6">
        <f>RANK(INTWAG[[#This Row],[FX League Total]],INTWAG[FX League Total], 0)</f>
        <v>70</v>
      </c>
      <c r="H75" s="4">
        <v>0</v>
      </c>
      <c r="J75" s="10">
        <f>INTWAG[[#This Row],[BB Comp 1]]+INTWAG[[#This Row],[BB Comp 2]]</f>
        <v>0</v>
      </c>
      <c r="K75" s="6">
        <f>RANK(INTWAG[[#This Row],[BB League Total]],INTWAG[BB League Total], 0)</f>
        <v>47</v>
      </c>
      <c r="L75" s="4">
        <v>0</v>
      </c>
      <c r="N75" s="10">
        <f>INTWAG[[#This Row],[UB Comp 1]]+INTWAG[[#This Row],[UB Comp 2]]</f>
        <v>0</v>
      </c>
      <c r="O75" s="6">
        <f>RANK(INTWAG[[#This Row],[UB League Total]],INTWAG[UB League Total], 0)</f>
        <v>20</v>
      </c>
      <c r="P75" s="4">
        <v>0</v>
      </c>
      <c r="R75" s="10">
        <f>INTWAG[[#This Row],[VT Comp 1]]+INTWAG[[#This Row],[VT Comp 2]]</f>
        <v>0</v>
      </c>
      <c r="S75" s="6">
        <f>RANK(INTWAG[[#This Row],[VT League Total]],INTWAG[VT League Total], 0)</f>
        <v>66</v>
      </c>
      <c r="T75" s="4">
        <v>0</v>
      </c>
      <c r="V75" s="10">
        <f>INTWAG[[#This Row],[AA Comp 1]]+INTWAG[[#This Row],[AA Comp 2]]</f>
        <v>0</v>
      </c>
      <c r="W75" s="6">
        <f>RANK(INTWAG[[#This Row],[AA League Total]],INTWAG[AA League Total], 0)</f>
        <v>70</v>
      </c>
    </row>
    <row r="76" spans="1:23" x14ac:dyDescent="0.2">
      <c r="A76" s="8"/>
      <c r="B76" t="s">
        <v>53</v>
      </c>
      <c r="C76" t="s">
        <v>191</v>
      </c>
      <c r="D76">
        <v>0</v>
      </c>
      <c r="E76"/>
      <c r="F76" s="10">
        <f>INTWAG[[#This Row],[FX Comp 1]]+INTWAG[[#This Row],[FX Comp 2]]</f>
        <v>0</v>
      </c>
      <c r="G76" s="6">
        <f>RANK(INTWAG[[#This Row],[FX League Total]],INTWAG[FX League Total], 0)</f>
        <v>70</v>
      </c>
      <c r="H76">
        <v>0</v>
      </c>
      <c r="I76"/>
      <c r="J76" s="10">
        <f>INTWAG[[#This Row],[BB Comp 1]]+INTWAG[[#This Row],[BB Comp 2]]</f>
        <v>0</v>
      </c>
      <c r="K76" s="6">
        <f>RANK(INTWAG[[#This Row],[BB League Total]],INTWAG[BB League Total], 0)</f>
        <v>47</v>
      </c>
      <c r="L76">
        <v>0</v>
      </c>
      <c r="M76"/>
      <c r="N76" s="10">
        <f>INTWAG[[#This Row],[UB Comp 1]]+INTWAG[[#This Row],[UB Comp 2]]</f>
        <v>0</v>
      </c>
      <c r="O76" s="6">
        <f>RANK(INTWAG[[#This Row],[UB League Total]],INTWAG[UB League Total], 0)</f>
        <v>20</v>
      </c>
      <c r="P76">
        <v>0</v>
      </c>
      <c r="Q76"/>
      <c r="R76" s="10">
        <f>INTWAG[[#This Row],[VT Comp 1]]+INTWAG[[#This Row],[VT Comp 2]]</f>
        <v>0</v>
      </c>
      <c r="S76" s="6">
        <f>RANK(INTWAG[[#This Row],[VT League Total]],INTWAG[VT League Total], 0)</f>
        <v>66</v>
      </c>
      <c r="T76">
        <v>0</v>
      </c>
      <c r="U76"/>
      <c r="V76" s="10">
        <f>INTWAG[[#This Row],[AA Comp 1]]+INTWAG[[#This Row],[AA Comp 2]]</f>
        <v>0</v>
      </c>
      <c r="W76" s="6">
        <f>RANK(INTWAG[[#This Row],[AA League Total]],INTWAG[AA League Total], 0)</f>
        <v>70</v>
      </c>
    </row>
  </sheetData>
  <conditionalFormatting sqref="G2:G76 K2:K76 O2:O76 S2:S76 W2:W76">
    <cfRule type="cellIs" dxfId="5" priority="1" operator="equal">
      <formula>3</formula>
    </cfRule>
    <cfRule type="cellIs" dxfId="4" priority="2" operator="equal">
      <formula>2</formula>
    </cfRule>
    <cfRule type="cellIs" dxfId="3" priority="3" operator="equal">
      <formula>1</formula>
    </cfRule>
  </conditionalFormatting>
  <pageMargins left="0.7" right="0.7" top="0.75" bottom="0.75" header="0.3" footer="0.3"/>
  <pageSetup paperSize="8" orientation="portrait" horizontalDpi="0" verticalDpi="0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D83E7-8D05-F945-81BA-823B5642AC96}">
  <sheetPr>
    <tabColor rgb="FF00B050"/>
  </sheetPr>
  <dimension ref="A1:W39"/>
  <sheetViews>
    <sheetView zoomScale="112" workbookViewId="0">
      <pane xSplit="3" ySplit="1" topLeftCell="U2" activePane="bottomRight" state="frozen"/>
      <selection pane="topRight" activeCell="D1" sqref="D1"/>
      <selection pane="bottomLeft" activeCell="A2" sqref="A2"/>
      <selection pane="bottomRight" activeCell="A2" sqref="A2:A42"/>
    </sheetView>
  </sheetViews>
  <sheetFormatPr baseColWidth="10" defaultColWidth="11" defaultRowHeight="16" x14ac:dyDescent="0.2"/>
  <cols>
    <col min="1" max="1" width="6.33203125" style="4" customWidth="1"/>
    <col min="2" max="2" width="26.1640625" style="4" bestFit="1" customWidth="1"/>
    <col min="3" max="3" width="23.83203125" style="4" customWidth="1"/>
    <col min="4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36</v>
      </c>
      <c r="H1" s="2" t="s">
        <v>24</v>
      </c>
      <c r="I1" s="2" t="s">
        <v>25</v>
      </c>
      <c r="J1" s="3" t="s">
        <v>26</v>
      </c>
      <c r="K1" s="3" t="s">
        <v>37</v>
      </c>
      <c r="L1" s="2" t="s">
        <v>27</v>
      </c>
      <c r="M1" s="2" t="s">
        <v>28</v>
      </c>
      <c r="N1" s="3" t="s">
        <v>29</v>
      </c>
      <c r="O1" s="3" t="s">
        <v>38</v>
      </c>
      <c r="P1" s="2" t="s">
        <v>12</v>
      </c>
      <c r="Q1" s="2" t="s">
        <v>13</v>
      </c>
      <c r="R1" s="3" t="s">
        <v>14</v>
      </c>
      <c r="S1" s="3" t="s">
        <v>39</v>
      </c>
      <c r="T1" s="2" t="s">
        <v>21</v>
      </c>
      <c r="U1" s="2" t="s">
        <v>22</v>
      </c>
      <c r="V1" s="3" t="s">
        <v>23</v>
      </c>
      <c r="W1" s="3" t="s">
        <v>35</v>
      </c>
    </row>
    <row r="2" spans="1:23" x14ac:dyDescent="0.2">
      <c r="A2" s="1"/>
      <c r="B2" t="s">
        <v>50</v>
      </c>
      <c r="C2" t="s">
        <v>196</v>
      </c>
      <c r="D2" s="4">
        <v>91.666666666666657</v>
      </c>
      <c r="E2" s="4">
        <v>93.644067796610187</v>
      </c>
      <c r="F2" s="10">
        <f>NOVWAG[[#This Row],[FX Comp 1]]+NOVWAG[[#This Row],[FX Comp 2]]</f>
        <v>185.31073446327684</v>
      </c>
      <c r="G2" s="6">
        <f>RANK(NOVWAG[[#This Row],[FX League Total]],NOVWAG[FX League Total], 0)</f>
        <v>3</v>
      </c>
      <c r="H2" s="4">
        <v>93.805309734513258</v>
      </c>
      <c r="I2" s="4">
        <v>89.215686274509807</v>
      </c>
      <c r="J2" s="10">
        <f>NOVWAG[[#This Row],[BB Comp 1]]+NOVWAG[[#This Row],[BB Comp 2]]</f>
        <v>183.02099600902307</v>
      </c>
      <c r="K2" s="6">
        <f>RANK(NOVWAG[[#This Row],[BB League Total]],NOVWAG[BB League Total], 0)</f>
        <v>3</v>
      </c>
      <c r="L2" s="4">
        <v>0</v>
      </c>
      <c r="M2" s="4">
        <v>0</v>
      </c>
      <c r="N2" s="10">
        <f>NOVWAG[[#This Row],[UB Comp 1]]+NOVWAG[[#This Row],[UB Comp 2]]</f>
        <v>0</v>
      </c>
      <c r="O2" s="6">
        <f>RANK(NOVWAG[[#This Row],[UB League Total]],NOVWAG[UB League Total], 0)</f>
        <v>13</v>
      </c>
      <c r="P2" s="4">
        <v>98.496240601503743</v>
      </c>
      <c r="Q2" s="4">
        <v>90.298507462686558</v>
      </c>
      <c r="R2" s="10">
        <f>NOVWAG[[#This Row],[VT Comp 1]]+NOVWAG[[#This Row],[VT Comp 2]]</f>
        <v>188.79474806419029</v>
      </c>
      <c r="S2" s="6">
        <f>RANK(NOVWAG[[#This Row],[VT League Total]],NOVWAG[VT League Total], 0)</f>
        <v>1</v>
      </c>
      <c r="T2" s="4">
        <v>96.603563474387528</v>
      </c>
      <c r="U2" s="4">
        <v>90.083798882681577</v>
      </c>
      <c r="V2" s="10">
        <f>NOVWAG[[#This Row],[AA Comp 1]]+NOVWAG[[#This Row],[AA Comp 2]]</f>
        <v>186.68736235706911</v>
      </c>
      <c r="W2" s="6">
        <f>RANK(NOVWAG[[#This Row],[AA League Total]],NOVWAG[AA League Total], 0)</f>
        <v>1</v>
      </c>
    </row>
    <row r="3" spans="1:23" x14ac:dyDescent="0.2">
      <c r="A3" s="1"/>
      <c r="B3" t="s">
        <v>51</v>
      </c>
      <c r="C3" t="s">
        <v>204</v>
      </c>
      <c r="D3" s="4">
        <v>87.5</v>
      </c>
      <c r="E3" s="4">
        <v>89.830508474576277</v>
      </c>
      <c r="F3" s="10">
        <f>NOVWAG[[#This Row],[FX Comp 1]]+NOVWAG[[#This Row],[FX Comp 2]]</f>
        <v>177.33050847457628</v>
      </c>
      <c r="G3" s="6">
        <f>RANK(NOVWAG[[#This Row],[FX League Total]],NOVWAG[FX League Total], 0)</f>
        <v>4</v>
      </c>
      <c r="H3" s="4">
        <v>93.362831858407077</v>
      </c>
      <c r="I3" s="4">
        <v>91.176470588235304</v>
      </c>
      <c r="J3" s="10">
        <f>NOVWAG[[#This Row],[BB Comp 1]]+NOVWAG[[#This Row],[BB Comp 2]]</f>
        <v>184.53930244664238</v>
      </c>
      <c r="K3" s="6">
        <f>RANK(NOVWAG[[#This Row],[BB League Total]],NOVWAG[BB League Total], 0)</f>
        <v>2</v>
      </c>
      <c r="L3" s="4">
        <v>0</v>
      </c>
      <c r="M3" s="4">
        <v>0</v>
      </c>
      <c r="N3" s="10">
        <f>NOVWAG[[#This Row],[UB Comp 1]]+NOVWAG[[#This Row],[UB Comp 2]]</f>
        <v>0</v>
      </c>
      <c r="O3" s="6">
        <f>RANK(NOVWAG[[#This Row],[UB League Total]],NOVWAG[UB League Total], 0)</f>
        <v>13</v>
      </c>
      <c r="P3" s="4">
        <v>84.586466165413526</v>
      </c>
      <c r="Q3" s="4">
        <v>91.044776119402982</v>
      </c>
      <c r="R3" s="10">
        <f>NOVWAG[[#This Row],[VT Comp 1]]+NOVWAG[[#This Row],[VT Comp 2]]</f>
        <v>175.63124228481649</v>
      </c>
      <c r="S3" s="6">
        <f>RANK(NOVWAG[[#This Row],[VT League Total]],NOVWAG[VT League Total], 0)</f>
        <v>3</v>
      </c>
      <c r="T3" s="4">
        <v>89.922048997772819</v>
      </c>
      <c r="U3" s="4">
        <v>89.664804469273733</v>
      </c>
      <c r="V3" s="10">
        <f>NOVWAG[[#This Row],[AA Comp 1]]+NOVWAG[[#This Row],[AA Comp 2]]</f>
        <v>179.58685346704655</v>
      </c>
      <c r="W3" s="6">
        <f>RANK(NOVWAG[[#This Row],[AA League Total]],NOVWAG[AA League Total], 0)</f>
        <v>2</v>
      </c>
    </row>
    <row r="4" spans="1:23" x14ac:dyDescent="0.2">
      <c r="A4" s="1"/>
      <c r="B4" t="s">
        <v>42</v>
      </c>
      <c r="C4" t="s">
        <v>207</v>
      </c>
      <c r="D4" s="4">
        <v>91.666666666666657</v>
      </c>
      <c r="E4" s="4">
        <v>99.576271186440692</v>
      </c>
      <c r="F4" s="10">
        <f>NOVWAG[[#This Row],[FX Comp 1]]+NOVWAG[[#This Row],[FX Comp 2]]</f>
        <v>191.24293785310735</v>
      </c>
      <c r="G4" s="6">
        <f>RANK(NOVWAG[[#This Row],[FX League Total]],NOVWAG[FX League Total], 0)</f>
        <v>1</v>
      </c>
      <c r="H4" s="4">
        <v>93.362831858407077</v>
      </c>
      <c r="I4" s="4">
        <v>86.274509803921589</v>
      </c>
      <c r="J4" s="10">
        <f>NOVWAG[[#This Row],[BB Comp 1]]+NOVWAG[[#This Row],[BB Comp 2]]</f>
        <v>179.63734166232865</v>
      </c>
      <c r="K4" s="6">
        <f>RANK(NOVWAG[[#This Row],[BB League Total]],NOVWAG[BB League Total], 0)</f>
        <v>5</v>
      </c>
      <c r="L4" s="4">
        <v>0</v>
      </c>
      <c r="M4" s="4">
        <v>0</v>
      </c>
      <c r="N4" s="10">
        <f>NOVWAG[[#This Row],[UB Comp 1]]+NOVWAG[[#This Row],[UB Comp 2]]</f>
        <v>0</v>
      </c>
      <c r="O4" s="6">
        <f>RANK(NOVWAG[[#This Row],[UB League Total]],NOVWAG[UB League Total], 0)</f>
        <v>13</v>
      </c>
      <c r="P4" s="4">
        <v>84.962406015037601</v>
      </c>
      <c r="Q4" s="4">
        <v>82.089552238805965</v>
      </c>
      <c r="R4" s="10">
        <f>NOVWAG[[#This Row],[VT Comp 1]]+NOVWAG[[#This Row],[VT Comp 2]]</f>
        <v>167.05195825384357</v>
      </c>
      <c r="S4" s="6">
        <f>RANK(NOVWAG[[#This Row],[VT League Total]],NOVWAG[VT League Total], 0)</f>
        <v>5</v>
      </c>
      <c r="T4" s="4">
        <v>91.453229398663694</v>
      </c>
      <c r="U4" s="4">
        <v>88.128491620111731</v>
      </c>
      <c r="V4" s="10">
        <f>NOVWAG[[#This Row],[AA Comp 1]]+NOVWAG[[#This Row],[AA Comp 2]]</f>
        <v>179.58172101877543</v>
      </c>
      <c r="W4" s="6">
        <f>RANK(NOVWAG[[#This Row],[AA League Total]],NOVWAG[AA League Total], 0)</f>
        <v>3</v>
      </c>
    </row>
    <row r="5" spans="1:23" x14ac:dyDescent="0.2">
      <c r="A5" s="1"/>
      <c r="B5" t="s">
        <v>52</v>
      </c>
      <c r="C5" t="s">
        <v>200</v>
      </c>
      <c r="D5">
        <v>92.5</v>
      </c>
      <c r="E5">
        <v>84.745762711864415</v>
      </c>
      <c r="F5" s="10">
        <f>NOVWAG[[#This Row],[FX Comp 1]]+NOVWAG[[#This Row],[FX Comp 2]]</f>
        <v>177.24576271186442</v>
      </c>
      <c r="G5" s="6">
        <f>RANK(NOVWAG[[#This Row],[FX League Total]],NOVWAG[FX League Total], 0)</f>
        <v>5</v>
      </c>
      <c r="H5">
        <v>93.805309734513258</v>
      </c>
      <c r="I5">
        <v>95.098039215686271</v>
      </c>
      <c r="J5" s="10">
        <f>NOVWAG[[#This Row],[BB Comp 1]]+NOVWAG[[#This Row],[BB Comp 2]]</f>
        <v>188.90334895019953</v>
      </c>
      <c r="K5" s="6">
        <f>RANK(NOVWAG[[#This Row],[BB League Total]],NOVWAG[BB League Total], 0)</f>
        <v>1</v>
      </c>
      <c r="L5">
        <v>0</v>
      </c>
      <c r="M5">
        <v>0</v>
      </c>
      <c r="N5" s="10">
        <f>NOVWAG[[#This Row],[UB Comp 1]]+NOVWAG[[#This Row],[UB Comp 2]]</f>
        <v>0</v>
      </c>
      <c r="O5" s="6">
        <f>RANK(NOVWAG[[#This Row],[UB League Total]],NOVWAG[UB League Total], 0)</f>
        <v>13</v>
      </c>
      <c r="P5">
        <v>85.338345864661648</v>
      </c>
      <c r="Q5">
        <v>83.582089552238799</v>
      </c>
      <c r="R5" s="10">
        <f>NOVWAG[[#This Row],[VT Comp 1]]+NOVWAG[[#This Row],[VT Comp 2]]</f>
        <v>168.92043541690043</v>
      </c>
      <c r="S5" s="6">
        <f>RANK(NOVWAG[[#This Row],[VT League Total]],NOVWAG[VT League Total], 0)</f>
        <v>4</v>
      </c>
      <c r="T5">
        <v>92.010022271714902</v>
      </c>
      <c r="U5">
        <v>86.312849162011176</v>
      </c>
      <c r="V5" s="10">
        <f>NOVWAG[[#This Row],[AA Comp 1]]+NOVWAG[[#This Row],[AA Comp 2]]</f>
        <v>178.32287143372608</v>
      </c>
      <c r="W5" s="6">
        <f>RANK(NOVWAG[[#This Row],[AA League Total]],NOVWAG[AA League Total], 0)</f>
        <v>4</v>
      </c>
    </row>
    <row r="6" spans="1:23" x14ac:dyDescent="0.2">
      <c r="A6" s="1"/>
      <c r="B6" t="s">
        <v>52</v>
      </c>
      <c r="C6" t="s">
        <v>199</v>
      </c>
      <c r="D6" s="4">
        <v>89.166666666666657</v>
      </c>
      <c r="E6" s="4">
        <v>83.050847457627128</v>
      </c>
      <c r="F6" s="10">
        <f>NOVWAG[[#This Row],[FX Comp 1]]+NOVWAG[[#This Row],[FX Comp 2]]</f>
        <v>172.21751412429379</v>
      </c>
      <c r="G6" s="6">
        <f>RANK(NOVWAG[[#This Row],[FX League Total]],NOVWAG[FX League Total], 0)</f>
        <v>6</v>
      </c>
      <c r="H6" s="4">
        <v>89.82300884955751</v>
      </c>
      <c r="I6" s="4">
        <v>89.215686274509807</v>
      </c>
      <c r="J6" s="10">
        <f>NOVWAG[[#This Row],[BB Comp 1]]+NOVWAG[[#This Row],[BB Comp 2]]</f>
        <v>179.03869512406732</v>
      </c>
      <c r="K6" s="6">
        <f>RANK(NOVWAG[[#This Row],[BB League Total]],NOVWAG[BB League Total], 0)</f>
        <v>6</v>
      </c>
      <c r="L6" s="4">
        <v>0</v>
      </c>
      <c r="M6" s="4">
        <v>0</v>
      </c>
      <c r="N6" s="10">
        <f>NOVWAG[[#This Row],[UB Comp 1]]+NOVWAG[[#This Row],[UB Comp 2]]</f>
        <v>0</v>
      </c>
      <c r="O6" s="6">
        <f>RANK(NOVWAG[[#This Row],[UB League Total]],NOVWAG[UB League Total], 0)</f>
        <v>13</v>
      </c>
      <c r="P6" s="4">
        <v>82.706766917293223</v>
      </c>
      <c r="Q6" s="4">
        <v>79.104477611940297</v>
      </c>
      <c r="R6" s="10">
        <f>NOVWAG[[#This Row],[VT Comp 1]]+NOVWAG[[#This Row],[VT Comp 2]]</f>
        <v>161.81124452923353</v>
      </c>
      <c r="S6" s="6">
        <f>RANK(NOVWAG[[#This Row],[VT League Total]],NOVWAG[VT League Total], 0)</f>
        <v>6</v>
      </c>
      <c r="T6" s="4">
        <v>88.669265033407569</v>
      </c>
      <c r="U6">
        <v>82.402234636871512</v>
      </c>
      <c r="V6" s="10">
        <f>NOVWAG[[#This Row],[AA Comp 1]]+NOVWAG[[#This Row],[AA Comp 2]]</f>
        <v>171.07149967027908</v>
      </c>
      <c r="W6" s="6">
        <f>RANK(NOVWAG[[#This Row],[AA League Total]],NOVWAG[AA League Total], 0)</f>
        <v>5</v>
      </c>
    </row>
    <row r="7" spans="1:23" x14ac:dyDescent="0.2">
      <c r="A7" s="1"/>
      <c r="B7" t="s">
        <v>52</v>
      </c>
      <c r="C7" t="s">
        <v>198</v>
      </c>
      <c r="D7" s="4">
        <v>80.833333333333329</v>
      </c>
      <c r="E7" s="4">
        <v>76.694915254237301</v>
      </c>
      <c r="F7" s="10">
        <f>NOVWAG[[#This Row],[FX Comp 1]]+NOVWAG[[#This Row],[FX Comp 2]]</f>
        <v>157.52824858757063</v>
      </c>
      <c r="G7" s="6">
        <f>RANK(NOVWAG[[#This Row],[FX League Total]],NOVWAG[FX League Total], 0)</f>
        <v>7</v>
      </c>
      <c r="H7" s="4">
        <v>99.55752212389379</v>
      </c>
      <c r="I7" s="4">
        <v>83.333333333333343</v>
      </c>
      <c r="J7" s="10">
        <f>NOVWAG[[#This Row],[BB Comp 1]]+NOVWAG[[#This Row],[BB Comp 2]]</f>
        <v>182.89085545722713</v>
      </c>
      <c r="K7" s="6">
        <f>RANK(NOVWAG[[#This Row],[BB League Total]],NOVWAG[BB League Total], 0)</f>
        <v>4</v>
      </c>
      <c r="L7" s="4">
        <v>0</v>
      </c>
      <c r="M7" s="4">
        <v>0</v>
      </c>
      <c r="N7" s="10">
        <f>NOVWAG[[#This Row],[UB Comp 1]]+NOVWAG[[#This Row],[UB Comp 2]]</f>
        <v>0</v>
      </c>
      <c r="O7" s="6">
        <f>RANK(NOVWAG[[#This Row],[UB League Total]],NOVWAG[UB League Total], 0)</f>
        <v>13</v>
      </c>
      <c r="P7" s="4">
        <v>79.323308270676691</v>
      </c>
      <c r="Q7" s="4">
        <v>74.626865671641781</v>
      </c>
      <c r="R7" s="10">
        <f>NOVWAG[[#This Row],[VT Comp 1]]+NOVWAG[[#This Row],[VT Comp 2]]</f>
        <v>153.95017394231849</v>
      </c>
      <c r="S7" s="6">
        <f>RANK(NOVWAG[[#This Row],[VT League Total]],NOVWAG[VT League Total], 0)</f>
        <v>7</v>
      </c>
      <c r="T7" s="4">
        <v>87.694877505567931</v>
      </c>
      <c r="U7" s="4">
        <v>76.955307262569832</v>
      </c>
      <c r="V7" s="10">
        <f>NOVWAG[[#This Row],[AA Comp 1]]+NOVWAG[[#This Row],[AA Comp 2]]</f>
        <v>164.65018476813776</v>
      </c>
      <c r="W7" s="6">
        <f>RANK(NOVWAG[[#This Row],[AA League Total]],NOVWAG[AA League Total], 0)</f>
        <v>6</v>
      </c>
    </row>
    <row r="8" spans="1:23" x14ac:dyDescent="0.2">
      <c r="A8" s="1"/>
      <c r="B8" t="s">
        <v>50</v>
      </c>
      <c r="C8" t="s">
        <v>195</v>
      </c>
      <c r="D8" s="4">
        <v>94.166666666666671</v>
      </c>
      <c r="E8" s="4">
        <v>93.644067796610187</v>
      </c>
      <c r="F8" s="10">
        <f>NOVWAG[[#This Row],[FX Comp 1]]+NOVWAG[[#This Row],[FX Comp 2]]</f>
        <v>187.81073446327684</v>
      </c>
      <c r="G8" s="6">
        <f>RANK(NOVWAG[[#This Row],[FX League Total]],NOVWAG[FX League Total], 0)</f>
        <v>2</v>
      </c>
      <c r="H8" s="4">
        <v>0</v>
      </c>
      <c r="I8" s="4">
        <v>0</v>
      </c>
      <c r="J8" s="10">
        <f>NOVWAG[[#This Row],[BB Comp 1]]+NOVWAG[[#This Row],[BB Comp 2]]</f>
        <v>0</v>
      </c>
      <c r="K8" s="6">
        <f>RANK(NOVWAG[[#This Row],[BB League Total]],NOVWAG[BB League Total], 0)</f>
        <v>24</v>
      </c>
      <c r="L8" s="4">
        <v>0</v>
      </c>
      <c r="M8" s="4">
        <v>92.576419213973807</v>
      </c>
      <c r="N8" s="10">
        <f>NOVWAG[[#This Row],[UB Comp 1]]+NOVWAG[[#This Row],[UB Comp 2]]</f>
        <v>92.576419213973807</v>
      </c>
      <c r="O8" s="6">
        <f>RANK(NOVWAG[[#This Row],[UB League Total]],NOVWAG[UB League Total], 0)</f>
        <v>7</v>
      </c>
      <c r="P8" s="4">
        <v>96.240601503759393</v>
      </c>
      <c r="Q8" s="4">
        <v>83.582089552238799</v>
      </c>
      <c r="R8" s="10">
        <f>NOVWAG[[#This Row],[VT Comp 1]]+NOVWAG[[#This Row],[VT Comp 2]]</f>
        <v>179.82269105599818</v>
      </c>
      <c r="S8" s="6">
        <f>RANK(NOVWAG[[#This Row],[VT League Total]],NOVWAG[VT League Total], 0)</f>
        <v>2</v>
      </c>
      <c r="T8" s="4">
        <v>67.093541202672597</v>
      </c>
      <c r="U8" s="4">
        <v>91.759776536312842</v>
      </c>
      <c r="V8" s="10">
        <f>NOVWAG[[#This Row],[AA Comp 1]]+NOVWAG[[#This Row],[AA Comp 2]]</f>
        <v>158.85331773898542</v>
      </c>
      <c r="W8" s="6">
        <f>RANK(NOVWAG[[#This Row],[AA League Total]],NOVWAG[AA League Total], 0)</f>
        <v>7</v>
      </c>
    </row>
    <row r="9" spans="1:23" x14ac:dyDescent="0.2">
      <c r="A9" s="8"/>
      <c r="B9" s="21" t="s">
        <v>248</v>
      </c>
      <c r="C9" t="s">
        <v>260</v>
      </c>
      <c r="D9"/>
      <c r="E9">
        <v>92.796610169491515</v>
      </c>
      <c r="F9" s="10">
        <f>NOVWAG[[#This Row],[FX Comp 1]]+NOVWAG[[#This Row],[FX Comp 2]]</f>
        <v>92.796610169491515</v>
      </c>
      <c r="G9" s="6">
        <f>RANK(NOVWAG[[#This Row],[FX League Total]],NOVWAG[FX League Total], 0)</f>
        <v>18</v>
      </c>
      <c r="H9"/>
      <c r="I9">
        <v>0</v>
      </c>
      <c r="J9" s="10">
        <f>NOVWAG[[#This Row],[BB Comp 1]]+NOVWAG[[#This Row],[BB Comp 2]]</f>
        <v>0</v>
      </c>
      <c r="K9" s="6">
        <f>RANK(NOVWAG[[#This Row],[BB League Total]],NOVWAG[BB League Total], 0)</f>
        <v>24</v>
      </c>
      <c r="L9"/>
      <c r="M9">
        <v>100</v>
      </c>
      <c r="N9" s="10">
        <f>NOVWAG[[#This Row],[UB Comp 1]]+NOVWAG[[#This Row],[UB Comp 2]]</f>
        <v>100</v>
      </c>
      <c r="O9" s="6">
        <f>RANK(NOVWAG[[#This Row],[UB League Total]],NOVWAG[UB League Total], 0)</f>
        <v>1</v>
      </c>
      <c r="P9"/>
      <c r="Q9">
        <v>100</v>
      </c>
      <c r="R9" s="10">
        <f>NOVWAG[[#This Row],[VT Comp 1]]+NOVWAG[[#This Row],[VT Comp 2]]</f>
        <v>100</v>
      </c>
      <c r="S9" s="6">
        <f>RANK(NOVWAG[[#This Row],[VT League Total]],NOVWAG[VT League Total], 0)</f>
        <v>8</v>
      </c>
      <c r="T9"/>
      <c r="U9">
        <v>100</v>
      </c>
      <c r="V9" s="10">
        <f>NOVWAG[[#This Row],[AA Comp 1]]+NOVWAG[[#This Row],[AA Comp 2]]</f>
        <v>100</v>
      </c>
      <c r="W9" s="6">
        <f>RANK(NOVWAG[[#This Row],[AA League Total]],NOVWAG[AA League Total], 0)</f>
        <v>8</v>
      </c>
    </row>
    <row r="10" spans="1:23" x14ac:dyDescent="0.2">
      <c r="A10" s="1"/>
      <c r="B10" t="s">
        <v>50</v>
      </c>
      <c r="C10" t="s">
        <v>197</v>
      </c>
      <c r="D10" s="4">
        <v>95.833333333333343</v>
      </c>
      <c r="F10" s="10">
        <f>NOVWAG[[#This Row],[FX Comp 1]]+NOVWAG[[#This Row],[FX Comp 2]]</f>
        <v>95.833333333333343</v>
      </c>
      <c r="G10" s="6">
        <f>RANK(NOVWAG[[#This Row],[FX League Total]],NOVWAG[FX League Total], 0)</f>
        <v>13</v>
      </c>
      <c r="H10" s="4">
        <v>100</v>
      </c>
      <c r="J10" s="10">
        <f>NOVWAG[[#This Row],[BB Comp 1]]+NOVWAG[[#This Row],[BB Comp 2]]</f>
        <v>100</v>
      </c>
      <c r="K10" s="6">
        <f>RANK(NOVWAG[[#This Row],[BB League Total]],NOVWAG[BB League Total], 0)</f>
        <v>7</v>
      </c>
      <c r="L10" s="4">
        <v>0</v>
      </c>
      <c r="N10" s="10">
        <f>NOVWAG[[#This Row],[UB Comp 1]]+NOVWAG[[#This Row],[UB Comp 2]]</f>
        <v>0</v>
      </c>
      <c r="O10" s="6">
        <f>RANK(NOVWAG[[#This Row],[UB League Total]],NOVWAG[UB League Total], 0)</f>
        <v>13</v>
      </c>
      <c r="P10" s="4">
        <v>98.646616541353367</v>
      </c>
      <c r="R10" s="10">
        <f>NOVWAG[[#This Row],[VT Comp 1]]+NOVWAG[[#This Row],[VT Comp 2]]</f>
        <v>98.646616541353367</v>
      </c>
      <c r="S10" s="6">
        <f>RANK(NOVWAG[[#This Row],[VT League Total]],NOVWAG[VT League Total], 0)</f>
        <v>10</v>
      </c>
      <c r="T10" s="4">
        <v>100</v>
      </c>
      <c r="V10" s="10">
        <f>NOVWAG[[#This Row],[AA Comp 1]]+NOVWAG[[#This Row],[AA Comp 2]]</f>
        <v>100</v>
      </c>
      <c r="W10" s="6">
        <f>RANK(NOVWAG[[#This Row],[AA League Total]],NOVWAG[AA League Total], 0)</f>
        <v>8</v>
      </c>
    </row>
    <row r="11" spans="1:23" x14ac:dyDescent="0.2">
      <c r="A11" s="8"/>
      <c r="B11" t="s">
        <v>247</v>
      </c>
      <c r="C11" t="s">
        <v>267</v>
      </c>
      <c r="D11"/>
      <c r="E11">
        <v>100</v>
      </c>
      <c r="F11" s="10">
        <f>NOVWAG[[#This Row],[FX Comp 1]]+NOVWAG[[#This Row],[FX Comp 2]]</f>
        <v>100</v>
      </c>
      <c r="G11" s="6">
        <f>RANK(NOVWAG[[#This Row],[FX League Total]],NOVWAG[FX League Total], 0)</f>
        <v>8</v>
      </c>
      <c r="H11"/>
      <c r="I11">
        <v>0</v>
      </c>
      <c r="J11" s="10">
        <f>NOVWAG[[#This Row],[BB Comp 1]]+NOVWAG[[#This Row],[BB Comp 2]]</f>
        <v>0</v>
      </c>
      <c r="K11" s="6">
        <f>RANK(NOVWAG[[#This Row],[BB League Total]],NOVWAG[BB League Total], 0)</f>
        <v>24</v>
      </c>
      <c r="L11"/>
      <c r="M11">
        <v>93.449781659388648</v>
      </c>
      <c r="N11" s="10">
        <f>NOVWAG[[#This Row],[UB Comp 1]]+NOVWAG[[#This Row],[UB Comp 2]]</f>
        <v>93.449781659388648</v>
      </c>
      <c r="O11" s="6">
        <f>RANK(NOVWAG[[#This Row],[UB League Total]],NOVWAG[UB League Total], 0)</f>
        <v>6</v>
      </c>
      <c r="P11"/>
      <c r="Q11">
        <v>98.507462686567166</v>
      </c>
      <c r="R11" s="10">
        <f>NOVWAG[[#This Row],[VT Comp 1]]+NOVWAG[[#This Row],[VT Comp 2]]</f>
        <v>98.507462686567166</v>
      </c>
      <c r="S11" s="6">
        <f>RANK(NOVWAG[[#This Row],[VT League Total]],NOVWAG[VT League Total], 0)</f>
        <v>11</v>
      </c>
      <c r="T11"/>
      <c r="U11">
        <v>99.720670391061475</v>
      </c>
      <c r="V11" s="10">
        <f>NOVWAG[[#This Row],[AA Comp 1]]+NOVWAG[[#This Row],[AA Comp 2]]</f>
        <v>99.720670391061475</v>
      </c>
      <c r="W11" s="6">
        <f>RANK(NOVWAG[[#This Row],[AA League Total]],NOVWAG[AA League Total], 0)</f>
        <v>10</v>
      </c>
    </row>
    <row r="12" spans="1:23" x14ac:dyDescent="0.2">
      <c r="A12" s="1"/>
      <c r="B12" t="s">
        <v>65</v>
      </c>
      <c r="C12" t="s">
        <v>201</v>
      </c>
      <c r="D12" s="4">
        <v>95.833333333333343</v>
      </c>
      <c r="F12" s="10">
        <f>NOVWAG[[#This Row],[FX Comp 1]]+NOVWAG[[#This Row],[FX Comp 2]]</f>
        <v>95.833333333333343</v>
      </c>
      <c r="G12" s="6">
        <f>RANK(NOVWAG[[#This Row],[FX League Total]],NOVWAG[FX League Total], 0)</f>
        <v>13</v>
      </c>
      <c r="H12" s="4">
        <v>0</v>
      </c>
      <c r="J12" s="10">
        <f>NOVWAG[[#This Row],[BB Comp 1]]+NOVWAG[[#This Row],[BB Comp 2]]</f>
        <v>0</v>
      </c>
      <c r="K12" s="6">
        <f>RANK(NOVWAG[[#This Row],[BB League Total]],NOVWAG[BB League Total], 0)</f>
        <v>24</v>
      </c>
      <c r="L12" s="4">
        <v>97.727272727272734</v>
      </c>
      <c r="N12" s="10">
        <f>NOVWAG[[#This Row],[UB Comp 1]]+NOVWAG[[#This Row],[UB Comp 2]]</f>
        <v>97.727272727272734</v>
      </c>
      <c r="O12" s="6">
        <f>RANK(NOVWAG[[#This Row],[UB League Total]],NOVWAG[UB League Total], 0)</f>
        <v>3</v>
      </c>
      <c r="P12" s="4">
        <v>100</v>
      </c>
      <c r="R12" s="10">
        <f>NOVWAG[[#This Row],[VT Comp 1]]+NOVWAG[[#This Row],[VT Comp 2]]</f>
        <v>100</v>
      </c>
      <c r="S12" s="6">
        <f>RANK(NOVWAG[[#This Row],[VT League Total]],NOVWAG[VT League Total], 0)</f>
        <v>8</v>
      </c>
      <c r="T12" s="4">
        <v>98.969933184855222</v>
      </c>
      <c r="V12" s="10">
        <f>NOVWAG[[#This Row],[AA Comp 1]]+NOVWAG[[#This Row],[AA Comp 2]]</f>
        <v>98.969933184855222</v>
      </c>
      <c r="W12" s="6">
        <f>RANK(NOVWAG[[#This Row],[AA League Total]],NOVWAG[AA League Total], 0)</f>
        <v>11</v>
      </c>
    </row>
    <row r="13" spans="1:23" x14ac:dyDescent="0.2">
      <c r="A13" s="1"/>
      <c r="B13" t="s">
        <v>53</v>
      </c>
      <c r="C13" t="s">
        <v>208</v>
      </c>
      <c r="D13">
        <v>96.666666666666671</v>
      </c>
      <c r="E13"/>
      <c r="F13" s="10">
        <f>NOVWAG[[#This Row],[FX Comp 1]]+NOVWAG[[#This Row],[FX Comp 2]]</f>
        <v>96.666666666666671</v>
      </c>
      <c r="G13" s="6">
        <f>RANK(NOVWAG[[#This Row],[FX League Total]],NOVWAG[FX League Total], 0)</f>
        <v>10</v>
      </c>
      <c r="H13">
        <v>0</v>
      </c>
      <c r="I13"/>
      <c r="J13" s="10">
        <f>NOVWAG[[#This Row],[BB Comp 1]]+NOVWAG[[#This Row],[BB Comp 2]]</f>
        <v>0</v>
      </c>
      <c r="K13" s="6">
        <f>RANK(NOVWAG[[#This Row],[BB League Total]],NOVWAG[BB League Total], 0)</f>
        <v>24</v>
      </c>
      <c r="L13">
        <v>100</v>
      </c>
      <c r="M13"/>
      <c r="N13" s="10">
        <f>NOVWAG[[#This Row],[UB Comp 1]]+NOVWAG[[#This Row],[UB Comp 2]]</f>
        <v>100</v>
      </c>
      <c r="O13" s="6">
        <f>RANK(NOVWAG[[#This Row],[UB League Total]],NOVWAG[UB League Total], 0)</f>
        <v>1</v>
      </c>
      <c r="P13">
        <v>95.488721804511272</v>
      </c>
      <c r="Q13"/>
      <c r="R13" s="10">
        <f>NOVWAG[[#This Row],[VT Comp 1]]+NOVWAG[[#This Row],[VT Comp 2]]</f>
        <v>95.488721804511272</v>
      </c>
      <c r="S13" s="6">
        <f>RANK(NOVWAG[[#This Row],[VT League Total]],NOVWAG[VT League Total], 0)</f>
        <v>15</v>
      </c>
      <c r="T13">
        <v>98.273942093541194</v>
      </c>
      <c r="U13"/>
      <c r="V13" s="10">
        <f>NOVWAG[[#This Row],[AA Comp 1]]+NOVWAG[[#This Row],[AA Comp 2]]</f>
        <v>98.273942093541194</v>
      </c>
      <c r="W13" s="6">
        <f>RANK(NOVWAG[[#This Row],[AA League Total]],NOVWAG[AA League Total], 0)</f>
        <v>12</v>
      </c>
    </row>
    <row r="14" spans="1:23" x14ac:dyDescent="0.2">
      <c r="A14" s="1"/>
      <c r="B14" t="s">
        <v>51</v>
      </c>
      <c r="C14" t="s">
        <v>203</v>
      </c>
      <c r="D14" s="4">
        <v>96.666666666666671</v>
      </c>
      <c r="F14" s="10">
        <f>NOVWAG[[#This Row],[FX Comp 1]]+NOVWAG[[#This Row],[FX Comp 2]]</f>
        <v>96.666666666666671</v>
      </c>
      <c r="G14" s="6">
        <f>RANK(NOVWAG[[#This Row],[FX League Total]],NOVWAG[FX League Total], 0)</f>
        <v>10</v>
      </c>
      <c r="H14" s="4">
        <v>99.115044247787594</v>
      </c>
      <c r="J14" s="10">
        <f>NOVWAG[[#This Row],[BB Comp 1]]+NOVWAG[[#This Row],[BB Comp 2]]</f>
        <v>99.115044247787594</v>
      </c>
      <c r="K14" s="6">
        <f>RANK(NOVWAG[[#This Row],[BB League Total]],NOVWAG[BB League Total], 0)</f>
        <v>9</v>
      </c>
      <c r="L14" s="4">
        <v>0</v>
      </c>
      <c r="N14" s="10">
        <f>NOVWAG[[#This Row],[UB Comp 1]]+NOVWAG[[#This Row],[UB Comp 2]]</f>
        <v>0</v>
      </c>
      <c r="O14" s="6">
        <f>RANK(NOVWAG[[#This Row],[UB League Total]],NOVWAG[UB League Total], 0)</f>
        <v>13</v>
      </c>
      <c r="P14" s="4">
        <v>92.481203007518801</v>
      </c>
      <c r="R14" s="10">
        <f>NOVWAG[[#This Row],[VT Comp 1]]+NOVWAG[[#This Row],[VT Comp 2]]</f>
        <v>92.481203007518801</v>
      </c>
      <c r="S14" s="6">
        <f>RANK(NOVWAG[[#This Row],[VT League Total]],NOVWAG[VT League Total], 0)</f>
        <v>17</v>
      </c>
      <c r="T14" s="4">
        <v>97.717149220489958</v>
      </c>
      <c r="V14" s="10">
        <f>NOVWAG[[#This Row],[AA Comp 1]]+NOVWAG[[#This Row],[AA Comp 2]]</f>
        <v>97.717149220489958</v>
      </c>
      <c r="W14" s="6">
        <f>RANK(NOVWAG[[#This Row],[AA League Total]],NOVWAG[AA League Total], 0)</f>
        <v>13</v>
      </c>
    </row>
    <row r="15" spans="1:23" x14ac:dyDescent="0.2">
      <c r="A15" s="1"/>
      <c r="B15" t="s">
        <v>65</v>
      </c>
      <c r="C15" t="s">
        <v>202</v>
      </c>
      <c r="D15" s="4">
        <v>100</v>
      </c>
      <c r="F15" s="10">
        <f>NOVWAG[[#This Row],[FX Comp 1]]+NOVWAG[[#This Row],[FX Comp 2]]</f>
        <v>100</v>
      </c>
      <c r="G15" s="6">
        <f>RANK(NOVWAG[[#This Row],[FX League Total]],NOVWAG[FX League Total], 0)</f>
        <v>8</v>
      </c>
      <c r="H15" s="4">
        <v>0</v>
      </c>
      <c r="J15" s="10">
        <f>NOVWAG[[#This Row],[BB Comp 1]]+NOVWAG[[#This Row],[BB Comp 2]]</f>
        <v>0</v>
      </c>
      <c r="K15" s="6">
        <f>RANK(NOVWAG[[#This Row],[BB League Total]],NOVWAG[BB League Total], 0)</f>
        <v>24</v>
      </c>
      <c r="L15" s="4">
        <v>97.272727272727266</v>
      </c>
      <c r="N15" s="10">
        <f>NOVWAG[[#This Row],[UB Comp 1]]+NOVWAG[[#This Row],[UB Comp 2]]</f>
        <v>97.272727272727266</v>
      </c>
      <c r="O15" s="6">
        <f>RANK(NOVWAG[[#This Row],[UB League Total]],NOVWAG[UB League Total], 0)</f>
        <v>4</v>
      </c>
      <c r="P15" s="4">
        <v>90.601503759398497</v>
      </c>
      <c r="R15" s="10">
        <f>NOVWAG[[#This Row],[VT Comp 1]]+NOVWAG[[#This Row],[VT Comp 2]]</f>
        <v>90.601503759398497</v>
      </c>
      <c r="S15" s="6">
        <f>RANK(NOVWAG[[#This Row],[VT League Total]],NOVWAG[VT League Total], 0)</f>
        <v>19</v>
      </c>
      <c r="T15" s="4">
        <v>96.742761692650319</v>
      </c>
      <c r="V15" s="10">
        <f>NOVWAG[[#This Row],[AA Comp 1]]+NOVWAG[[#This Row],[AA Comp 2]]</f>
        <v>96.742761692650319</v>
      </c>
      <c r="W15" s="6">
        <f>RANK(NOVWAG[[#This Row],[AA League Total]],NOVWAG[AA League Total], 0)</f>
        <v>14</v>
      </c>
    </row>
    <row r="16" spans="1:23" x14ac:dyDescent="0.2">
      <c r="A16" s="8"/>
      <c r="B16" t="s">
        <v>42</v>
      </c>
      <c r="C16" s="19" t="s">
        <v>257</v>
      </c>
      <c r="D16"/>
      <c r="E16">
        <v>93.220338983050851</v>
      </c>
      <c r="F16" s="10">
        <f>NOVWAG[[#This Row],[FX Comp 1]]+NOVWAG[[#This Row],[FX Comp 2]]</f>
        <v>93.220338983050851</v>
      </c>
      <c r="G16" s="6">
        <f>RANK(NOVWAG[[#This Row],[FX League Total]],NOVWAG[FX League Total], 0)</f>
        <v>17</v>
      </c>
      <c r="H16"/>
      <c r="I16">
        <v>100</v>
      </c>
      <c r="J16" s="10">
        <f>NOVWAG[[#This Row],[BB Comp 1]]+NOVWAG[[#This Row],[BB Comp 2]]</f>
        <v>100</v>
      </c>
      <c r="K16" s="6">
        <f>RANK(NOVWAG[[#This Row],[BB League Total]],NOVWAG[BB League Total], 0)</f>
        <v>7</v>
      </c>
      <c r="L16"/>
      <c r="M16">
        <v>0</v>
      </c>
      <c r="N16" s="10">
        <f>NOVWAG[[#This Row],[UB Comp 1]]+NOVWAG[[#This Row],[UB Comp 2]]</f>
        <v>0</v>
      </c>
      <c r="O16" s="6">
        <f>RANK(NOVWAG[[#This Row],[UB League Total]],NOVWAG[UB League Total], 0)</f>
        <v>13</v>
      </c>
      <c r="P16"/>
      <c r="Q16">
        <v>97.014925373134332</v>
      </c>
      <c r="R16" s="10">
        <f>NOVWAG[[#This Row],[VT Comp 1]]+NOVWAG[[#This Row],[VT Comp 2]]</f>
        <v>97.014925373134332</v>
      </c>
      <c r="S16" s="6">
        <f>RANK(NOVWAG[[#This Row],[VT League Total]],NOVWAG[VT League Total], 0)</f>
        <v>12</v>
      </c>
      <c r="T16"/>
      <c r="U16">
        <v>95.530726256983257</v>
      </c>
      <c r="V16" s="10">
        <f>NOVWAG[[#This Row],[AA Comp 1]]+NOVWAG[[#This Row],[AA Comp 2]]</f>
        <v>95.530726256983257</v>
      </c>
      <c r="W16" s="6">
        <f>RANK(NOVWAG[[#This Row],[AA League Total]],NOVWAG[AA League Total], 0)</f>
        <v>15</v>
      </c>
    </row>
    <row r="17" spans="1:23" x14ac:dyDescent="0.2">
      <c r="A17" s="8"/>
      <c r="B17" t="s">
        <v>247</v>
      </c>
      <c r="C17" t="s">
        <v>272</v>
      </c>
      <c r="D17"/>
      <c r="E17">
        <v>92.796610169491515</v>
      </c>
      <c r="F17" s="10">
        <f>NOVWAG[[#This Row],[FX Comp 1]]+NOVWAG[[#This Row],[FX Comp 2]]</f>
        <v>92.796610169491515</v>
      </c>
      <c r="G17" s="6">
        <f>RANK(NOVWAG[[#This Row],[FX League Total]],NOVWAG[FX League Total], 0)</f>
        <v>18</v>
      </c>
      <c r="H17"/>
      <c r="I17">
        <v>97.058823529411768</v>
      </c>
      <c r="J17" s="10">
        <f>NOVWAG[[#This Row],[BB Comp 1]]+NOVWAG[[#This Row],[BB Comp 2]]</f>
        <v>97.058823529411768</v>
      </c>
      <c r="K17" s="6">
        <f>RANK(NOVWAG[[#This Row],[BB League Total]],NOVWAG[BB League Total], 0)</f>
        <v>11</v>
      </c>
      <c r="L17"/>
      <c r="M17">
        <v>0</v>
      </c>
      <c r="N17" s="10">
        <f>NOVWAG[[#This Row],[UB Comp 1]]+NOVWAG[[#This Row],[UB Comp 2]]</f>
        <v>0</v>
      </c>
      <c r="O17" s="6">
        <f>RANK(NOVWAG[[#This Row],[UB League Total]],NOVWAG[UB League Total], 0)</f>
        <v>13</v>
      </c>
      <c r="P17"/>
      <c r="Q17">
        <v>97.014925373134332</v>
      </c>
      <c r="R17" s="10">
        <f>NOVWAG[[#This Row],[VT Comp 1]]+NOVWAG[[#This Row],[VT Comp 2]]</f>
        <v>97.014925373134332</v>
      </c>
      <c r="S17" s="6">
        <f>RANK(NOVWAG[[#This Row],[VT League Total]],NOVWAG[VT League Total], 0)</f>
        <v>12</v>
      </c>
      <c r="T17"/>
      <c r="U17">
        <v>94.553072625698334</v>
      </c>
      <c r="V17" s="10">
        <f>NOVWAG[[#This Row],[AA Comp 1]]+NOVWAG[[#This Row],[AA Comp 2]]</f>
        <v>94.553072625698334</v>
      </c>
      <c r="W17" s="6">
        <f>RANK(NOVWAG[[#This Row],[AA League Total]],NOVWAG[AA League Total], 0)</f>
        <v>16</v>
      </c>
    </row>
    <row r="18" spans="1:23" x14ac:dyDescent="0.2">
      <c r="A18" s="1"/>
      <c r="B18" t="s">
        <v>51</v>
      </c>
      <c r="C18" t="s">
        <v>205</v>
      </c>
      <c r="D18" s="4">
        <v>93.333333333333329</v>
      </c>
      <c r="F18" s="10">
        <f>NOVWAG[[#This Row],[FX Comp 1]]+NOVWAG[[#This Row],[FX Comp 2]]</f>
        <v>93.333333333333329</v>
      </c>
      <c r="G18" s="6">
        <f>RANK(NOVWAG[[#This Row],[FX League Total]],NOVWAG[FX League Total], 0)</f>
        <v>16</v>
      </c>
      <c r="H18" s="4">
        <v>90.265486725663706</v>
      </c>
      <c r="J18" s="10">
        <f>NOVWAG[[#This Row],[BB Comp 1]]+NOVWAG[[#This Row],[BB Comp 2]]</f>
        <v>90.265486725663706</v>
      </c>
      <c r="K18" s="6">
        <f>RANK(NOVWAG[[#This Row],[BB League Total]],NOVWAG[BB League Total], 0)</f>
        <v>15</v>
      </c>
      <c r="L18" s="4">
        <v>0</v>
      </c>
      <c r="N18" s="10">
        <f>NOVWAG[[#This Row],[UB Comp 1]]+NOVWAG[[#This Row],[UB Comp 2]]</f>
        <v>0</v>
      </c>
      <c r="O18" s="6">
        <f>RANK(NOVWAG[[#This Row],[UB League Total]],NOVWAG[UB League Total], 0)</f>
        <v>13</v>
      </c>
      <c r="P18" s="4">
        <v>94.360902255639104</v>
      </c>
      <c r="R18" s="10">
        <f>NOVWAG[[#This Row],[VT Comp 1]]+NOVWAG[[#This Row],[VT Comp 2]]</f>
        <v>94.360902255639104</v>
      </c>
      <c r="S18" s="6">
        <f>RANK(NOVWAG[[#This Row],[VT League Total]],NOVWAG[VT League Total], 0)</f>
        <v>16</v>
      </c>
      <c r="T18" s="4">
        <v>94.515590200445445</v>
      </c>
      <c r="V18" s="10">
        <f>NOVWAG[[#This Row],[AA Comp 1]]+NOVWAG[[#This Row],[AA Comp 2]]</f>
        <v>94.515590200445445</v>
      </c>
      <c r="W18" s="6">
        <f>RANK(NOVWAG[[#This Row],[AA League Total]],NOVWAG[AA League Total], 0)</f>
        <v>17</v>
      </c>
    </row>
    <row r="19" spans="1:23" x14ac:dyDescent="0.2">
      <c r="A19" s="8"/>
      <c r="B19" t="s">
        <v>247</v>
      </c>
      <c r="C19" t="s">
        <v>265</v>
      </c>
      <c r="D19"/>
      <c r="E19">
        <v>96.610169491525426</v>
      </c>
      <c r="F19" s="10">
        <f>NOVWAG[[#This Row],[FX Comp 1]]+NOVWAG[[#This Row],[FX Comp 2]]</f>
        <v>96.610169491525426</v>
      </c>
      <c r="G19" s="6">
        <f>RANK(NOVWAG[[#This Row],[FX League Total]],NOVWAG[FX League Total], 0)</f>
        <v>12</v>
      </c>
      <c r="H19"/>
      <c r="I19">
        <v>95.098039215686271</v>
      </c>
      <c r="J19" s="10">
        <f>NOVWAG[[#This Row],[BB Comp 1]]+NOVWAG[[#This Row],[BB Comp 2]]</f>
        <v>95.098039215686271</v>
      </c>
      <c r="K19" s="6">
        <f>RANK(NOVWAG[[#This Row],[BB League Total]],NOVWAG[BB League Total], 0)</f>
        <v>14</v>
      </c>
      <c r="L19"/>
      <c r="M19">
        <v>0</v>
      </c>
      <c r="N19" s="10">
        <f>NOVWAG[[#This Row],[UB Comp 1]]+NOVWAG[[#This Row],[UB Comp 2]]</f>
        <v>0</v>
      </c>
      <c r="O19" s="6">
        <f>RANK(NOVWAG[[#This Row],[UB League Total]],NOVWAG[UB League Total], 0)</f>
        <v>13</v>
      </c>
      <c r="P19"/>
      <c r="Q19">
        <v>91.791044776119406</v>
      </c>
      <c r="R19" s="10">
        <f>NOVWAG[[#This Row],[VT Comp 1]]+NOVWAG[[#This Row],[VT Comp 2]]</f>
        <v>91.791044776119406</v>
      </c>
      <c r="S19" s="6">
        <f>RANK(NOVWAG[[#This Row],[VT League Total]],NOVWAG[VT League Total], 0)</f>
        <v>18</v>
      </c>
      <c r="T19"/>
      <c r="U19">
        <v>93.296089385474872</v>
      </c>
      <c r="V19" s="10">
        <f>NOVWAG[[#This Row],[AA Comp 1]]+NOVWAG[[#This Row],[AA Comp 2]]</f>
        <v>93.296089385474872</v>
      </c>
      <c r="W19" s="6">
        <f>RANK(NOVWAG[[#This Row],[AA League Total]],NOVWAG[AA League Total], 0)</f>
        <v>18</v>
      </c>
    </row>
    <row r="20" spans="1:23" x14ac:dyDescent="0.2">
      <c r="A20" s="1"/>
      <c r="B20" t="s">
        <v>51</v>
      </c>
      <c r="C20" t="s">
        <v>206</v>
      </c>
      <c r="D20" s="4">
        <v>90.833333333333329</v>
      </c>
      <c r="F20" s="10">
        <f>NOVWAG[[#This Row],[FX Comp 1]]+NOVWAG[[#This Row],[FX Comp 2]]</f>
        <v>90.833333333333329</v>
      </c>
      <c r="G20" s="6">
        <f>RANK(NOVWAG[[#This Row],[FX League Total]],NOVWAG[FX League Total], 0)</f>
        <v>20</v>
      </c>
      <c r="H20" s="4">
        <v>99.115044247787594</v>
      </c>
      <c r="J20" s="10">
        <f>NOVWAG[[#This Row],[BB Comp 1]]+NOVWAG[[#This Row],[BB Comp 2]]</f>
        <v>99.115044247787594</v>
      </c>
      <c r="K20" s="6">
        <f>RANK(NOVWAG[[#This Row],[BB League Total]],NOVWAG[BB League Total], 0)</f>
        <v>9</v>
      </c>
      <c r="L20" s="4">
        <v>0</v>
      </c>
      <c r="N20" s="10">
        <f>NOVWAG[[#This Row],[UB Comp 1]]+NOVWAG[[#This Row],[UB Comp 2]]</f>
        <v>0</v>
      </c>
      <c r="O20" s="6">
        <f>RANK(NOVWAG[[#This Row],[UB League Total]],NOVWAG[UB League Total], 0)</f>
        <v>13</v>
      </c>
      <c r="P20" s="4">
        <v>83.834586466165419</v>
      </c>
      <c r="R20" s="10">
        <f>NOVWAG[[#This Row],[VT Comp 1]]+NOVWAG[[#This Row],[VT Comp 2]]</f>
        <v>83.834586466165419</v>
      </c>
      <c r="S20" s="6">
        <f>RANK(NOVWAG[[#This Row],[VT League Total]],NOVWAG[VT League Total], 0)</f>
        <v>23</v>
      </c>
      <c r="T20" s="4">
        <v>92.566815144766139</v>
      </c>
      <c r="V20" s="10">
        <f>NOVWAG[[#This Row],[AA Comp 1]]+NOVWAG[[#This Row],[AA Comp 2]]</f>
        <v>92.566815144766139</v>
      </c>
      <c r="W20" s="6">
        <f>RANK(NOVWAG[[#This Row],[AA League Total]],NOVWAG[AA League Total], 0)</f>
        <v>19</v>
      </c>
    </row>
    <row r="21" spans="1:23" x14ac:dyDescent="0.2">
      <c r="A21" s="8"/>
      <c r="B21" t="s">
        <v>64</v>
      </c>
      <c r="C21" t="s">
        <v>263</v>
      </c>
      <c r="D21"/>
      <c r="E21">
        <v>84.745762711864415</v>
      </c>
      <c r="F21" s="10">
        <f>NOVWAG[[#This Row],[FX Comp 1]]+NOVWAG[[#This Row],[FX Comp 2]]</f>
        <v>84.745762711864415</v>
      </c>
      <c r="G21" s="6">
        <f>RANK(NOVWAG[[#This Row],[FX League Total]],NOVWAG[FX League Total], 0)</f>
        <v>26</v>
      </c>
      <c r="H21"/>
      <c r="I21">
        <v>0</v>
      </c>
      <c r="J21" s="10">
        <f>NOVWAG[[#This Row],[BB Comp 1]]+NOVWAG[[#This Row],[BB Comp 2]]</f>
        <v>0</v>
      </c>
      <c r="K21" s="6">
        <f>RANK(NOVWAG[[#This Row],[BB League Total]],NOVWAG[BB League Total], 0)</f>
        <v>24</v>
      </c>
      <c r="L21"/>
      <c r="M21">
        <v>88.646288209606993</v>
      </c>
      <c r="N21" s="10">
        <f>NOVWAG[[#This Row],[UB Comp 1]]+NOVWAG[[#This Row],[UB Comp 2]]</f>
        <v>88.646288209606993</v>
      </c>
      <c r="O21" s="6">
        <f>RANK(NOVWAG[[#This Row],[UB League Total]],NOVWAG[UB League Total], 0)</f>
        <v>8</v>
      </c>
      <c r="P21"/>
      <c r="Q21">
        <v>96.268656716417908</v>
      </c>
      <c r="R21" s="10">
        <f>NOVWAG[[#This Row],[VT Comp 1]]+NOVWAG[[#This Row],[VT Comp 2]]</f>
        <v>96.268656716417908</v>
      </c>
      <c r="S21" s="6">
        <f>RANK(NOVWAG[[#This Row],[VT League Total]],NOVWAG[VT League Total], 0)</f>
        <v>14</v>
      </c>
      <c r="T21"/>
      <c r="U21">
        <v>92.318435754189949</v>
      </c>
      <c r="V21" s="10">
        <f>NOVWAG[[#This Row],[AA Comp 1]]+NOVWAG[[#This Row],[AA Comp 2]]</f>
        <v>92.318435754189949</v>
      </c>
      <c r="W21" s="6">
        <f>RANK(NOVWAG[[#This Row],[AA League Total]],NOVWAG[AA League Total], 0)</f>
        <v>20</v>
      </c>
    </row>
    <row r="22" spans="1:23" x14ac:dyDescent="0.2">
      <c r="A22" s="8"/>
      <c r="B22" t="s">
        <v>247</v>
      </c>
      <c r="C22" t="s">
        <v>264</v>
      </c>
      <c r="D22"/>
      <c r="E22">
        <v>89.830508474576277</v>
      </c>
      <c r="F22" s="10">
        <f>NOVWAG[[#This Row],[FX Comp 1]]+NOVWAG[[#This Row],[FX Comp 2]]</f>
        <v>89.830508474576277</v>
      </c>
      <c r="G22" s="6">
        <f>RANK(NOVWAG[[#This Row],[FX League Total]],NOVWAG[FX League Total], 0)</f>
        <v>22</v>
      </c>
      <c r="H22"/>
      <c r="I22">
        <v>0</v>
      </c>
      <c r="J22" s="10">
        <f>NOVWAG[[#This Row],[BB Comp 1]]+NOVWAG[[#This Row],[BB Comp 2]]</f>
        <v>0</v>
      </c>
      <c r="K22" s="6">
        <f>RANK(NOVWAG[[#This Row],[BB League Total]],NOVWAG[BB League Total], 0)</f>
        <v>24</v>
      </c>
      <c r="L22"/>
      <c r="M22">
        <v>94.323144104803504</v>
      </c>
      <c r="N22" s="10">
        <f>NOVWAG[[#This Row],[UB Comp 1]]+NOVWAG[[#This Row],[UB Comp 2]]</f>
        <v>94.323144104803504</v>
      </c>
      <c r="O22" s="6">
        <f>RANK(NOVWAG[[#This Row],[UB League Total]],NOVWAG[UB League Total], 0)</f>
        <v>5</v>
      </c>
      <c r="P22"/>
      <c r="Q22">
        <v>84.328358208955223</v>
      </c>
      <c r="R22" s="10">
        <f>NOVWAG[[#This Row],[VT Comp 1]]+NOVWAG[[#This Row],[VT Comp 2]]</f>
        <v>84.328358208955223</v>
      </c>
      <c r="S22" s="6">
        <f>RANK(NOVWAG[[#This Row],[VT League Total]],NOVWAG[VT League Total], 0)</f>
        <v>22</v>
      </c>
      <c r="T22"/>
      <c r="U22">
        <v>91.34078212290504</v>
      </c>
      <c r="V22" s="10">
        <f>NOVWAG[[#This Row],[AA Comp 1]]+NOVWAG[[#This Row],[AA Comp 2]]</f>
        <v>91.34078212290504</v>
      </c>
      <c r="W22" s="6">
        <f>RANK(NOVWAG[[#This Row],[AA League Total]],NOVWAG[AA League Total], 0)</f>
        <v>21</v>
      </c>
    </row>
    <row r="23" spans="1:23" x14ac:dyDescent="0.2">
      <c r="A23" s="8"/>
      <c r="B23" s="21" t="s">
        <v>50</v>
      </c>
      <c r="C23" t="s">
        <v>255</v>
      </c>
      <c r="D23"/>
      <c r="E23">
        <v>90.677966101694921</v>
      </c>
      <c r="F23" s="10">
        <f>NOVWAG[[#This Row],[FX Comp 1]]+NOVWAG[[#This Row],[FX Comp 2]]</f>
        <v>90.677966101694921</v>
      </c>
      <c r="G23" s="6">
        <f>RANK(NOVWAG[[#This Row],[FX League Total]],NOVWAG[FX League Total], 0)</f>
        <v>21</v>
      </c>
      <c r="H23"/>
      <c r="I23">
        <v>97.058823529411768</v>
      </c>
      <c r="J23" s="10">
        <f>NOVWAG[[#This Row],[BB Comp 1]]+NOVWAG[[#This Row],[BB Comp 2]]</f>
        <v>97.058823529411768</v>
      </c>
      <c r="K23" s="6">
        <f>RANK(NOVWAG[[#This Row],[BB League Total]],NOVWAG[BB League Total], 0)</f>
        <v>11</v>
      </c>
      <c r="L23"/>
      <c r="M23">
        <v>0</v>
      </c>
      <c r="N23" s="10">
        <f>NOVWAG[[#This Row],[UB Comp 1]]+NOVWAG[[#This Row],[UB Comp 2]]</f>
        <v>0</v>
      </c>
      <c r="O23" s="6">
        <f>RANK(NOVWAG[[#This Row],[UB League Total]],NOVWAG[UB League Total], 0)</f>
        <v>13</v>
      </c>
      <c r="P23"/>
      <c r="Q23">
        <v>83.582089552238799</v>
      </c>
      <c r="R23" s="10">
        <f>NOVWAG[[#This Row],[VT Comp 1]]+NOVWAG[[#This Row],[VT Comp 2]]</f>
        <v>83.582089552238799</v>
      </c>
      <c r="S23" s="6">
        <f>RANK(NOVWAG[[#This Row],[VT League Total]],NOVWAG[VT League Total], 0)</f>
        <v>24</v>
      </c>
      <c r="T23"/>
      <c r="U23">
        <v>88.826815642458115</v>
      </c>
      <c r="V23" s="10">
        <f>NOVWAG[[#This Row],[AA Comp 1]]+NOVWAG[[#This Row],[AA Comp 2]]</f>
        <v>88.826815642458115</v>
      </c>
      <c r="W23" s="6">
        <f>RANK(NOVWAG[[#This Row],[AA League Total]],NOVWAG[AA League Total], 0)</f>
        <v>22</v>
      </c>
    </row>
    <row r="24" spans="1:23" x14ac:dyDescent="0.2">
      <c r="A24" s="8"/>
      <c r="B24" t="s">
        <v>42</v>
      </c>
      <c r="C24" s="19" t="s">
        <v>273</v>
      </c>
      <c r="D24"/>
      <c r="E24">
        <v>80.932203389830519</v>
      </c>
      <c r="F24" s="10">
        <f>NOVWAG[[#This Row],[FX Comp 1]]+NOVWAG[[#This Row],[FX Comp 2]]</f>
        <v>80.932203389830519</v>
      </c>
      <c r="G24" s="6">
        <f>RANK(NOVWAG[[#This Row],[FX League Total]],NOVWAG[FX League Total], 0)</f>
        <v>32</v>
      </c>
      <c r="H24"/>
      <c r="I24">
        <v>97.058823529411768</v>
      </c>
      <c r="J24" s="10">
        <f>NOVWAG[[#This Row],[BB Comp 1]]+NOVWAG[[#This Row],[BB Comp 2]]</f>
        <v>97.058823529411768</v>
      </c>
      <c r="K24" s="6">
        <f>RANK(NOVWAG[[#This Row],[BB League Total]],NOVWAG[BB League Total], 0)</f>
        <v>11</v>
      </c>
      <c r="L24"/>
      <c r="M24">
        <v>0</v>
      </c>
      <c r="N24" s="10">
        <f>NOVWAG[[#This Row],[UB Comp 1]]+NOVWAG[[#This Row],[UB Comp 2]]</f>
        <v>0</v>
      </c>
      <c r="O24" s="6">
        <f>RANK(NOVWAG[[#This Row],[UB League Total]],NOVWAG[UB League Total], 0)</f>
        <v>13</v>
      </c>
      <c r="P24"/>
      <c r="Q24">
        <v>88.059701492537314</v>
      </c>
      <c r="R24" s="10">
        <f>NOVWAG[[#This Row],[VT Comp 1]]+NOVWAG[[#This Row],[VT Comp 2]]</f>
        <v>88.059701492537314</v>
      </c>
      <c r="S24" s="6">
        <f>RANK(NOVWAG[[#This Row],[VT League Total]],NOVWAG[VT League Total], 0)</f>
        <v>20</v>
      </c>
      <c r="T24"/>
      <c r="U24">
        <v>87.290502793296113</v>
      </c>
      <c r="V24" s="10">
        <f>NOVWAG[[#This Row],[AA Comp 1]]+NOVWAG[[#This Row],[AA Comp 2]]</f>
        <v>87.290502793296113</v>
      </c>
      <c r="W24" s="6">
        <f>RANK(NOVWAG[[#This Row],[AA League Total]],NOVWAG[AA League Total], 0)</f>
        <v>23</v>
      </c>
    </row>
    <row r="25" spans="1:23" x14ac:dyDescent="0.2">
      <c r="A25" s="8"/>
      <c r="B25" s="21" t="s">
        <v>248</v>
      </c>
      <c r="C25" s="19" t="s">
        <v>266</v>
      </c>
      <c r="D25"/>
      <c r="E25">
        <v>84.745762711864415</v>
      </c>
      <c r="F25" s="10">
        <f>NOVWAG[[#This Row],[FX Comp 1]]+NOVWAG[[#This Row],[FX Comp 2]]</f>
        <v>84.745762711864415</v>
      </c>
      <c r="G25" s="6">
        <f>RANK(NOVWAG[[#This Row],[FX League Total]],NOVWAG[FX League Total], 0)</f>
        <v>26</v>
      </c>
      <c r="H25"/>
      <c r="I25">
        <v>0</v>
      </c>
      <c r="J25" s="10">
        <f>NOVWAG[[#This Row],[BB Comp 1]]+NOVWAG[[#This Row],[BB Comp 2]]</f>
        <v>0</v>
      </c>
      <c r="K25" s="6">
        <f>RANK(NOVWAG[[#This Row],[BB League Total]],NOVWAG[BB League Total], 0)</f>
        <v>24</v>
      </c>
      <c r="L25"/>
      <c r="M25">
        <v>79.912663755458524</v>
      </c>
      <c r="N25" s="10">
        <f>NOVWAG[[#This Row],[UB Comp 1]]+NOVWAG[[#This Row],[UB Comp 2]]</f>
        <v>79.912663755458524</v>
      </c>
      <c r="O25" s="6">
        <f>RANK(NOVWAG[[#This Row],[UB League Total]],NOVWAG[UB League Total], 0)</f>
        <v>10</v>
      </c>
      <c r="P25"/>
      <c r="Q25">
        <v>78.358208955223873</v>
      </c>
      <c r="R25" s="10">
        <f>NOVWAG[[#This Row],[VT Comp 1]]+NOVWAG[[#This Row],[VT Comp 2]]</f>
        <v>78.358208955223873</v>
      </c>
      <c r="S25" s="6">
        <f>RANK(NOVWAG[[#This Row],[VT League Total]],NOVWAG[VT League Total], 0)</f>
        <v>29</v>
      </c>
      <c r="T25"/>
      <c r="U25">
        <v>82.821229050279328</v>
      </c>
      <c r="V25" s="10">
        <f>NOVWAG[[#This Row],[AA Comp 1]]+NOVWAG[[#This Row],[AA Comp 2]]</f>
        <v>82.821229050279328</v>
      </c>
      <c r="W25" s="6">
        <f>RANK(NOVWAG[[#This Row],[AA League Total]],NOVWAG[AA League Total], 0)</f>
        <v>24</v>
      </c>
    </row>
    <row r="26" spans="1:23" x14ac:dyDescent="0.2">
      <c r="A26" s="1"/>
      <c r="B26" t="s">
        <v>50</v>
      </c>
      <c r="C26" t="s">
        <v>194</v>
      </c>
      <c r="D26" s="4">
        <v>81.666666666666671</v>
      </c>
      <c r="F26" s="10">
        <f>NOVWAG[[#This Row],[FX Comp 1]]+NOVWAG[[#This Row],[FX Comp 2]]</f>
        <v>81.666666666666671</v>
      </c>
      <c r="G26" s="6">
        <f>RANK(NOVWAG[[#This Row],[FX League Total]],NOVWAG[FX League Total], 0)</f>
        <v>31</v>
      </c>
      <c r="H26" s="4">
        <v>0</v>
      </c>
      <c r="J26" s="10">
        <f>NOVWAG[[#This Row],[BB Comp 1]]+NOVWAG[[#This Row],[BB Comp 2]]</f>
        <v>0</v>
      </c>
      <c r="K26" s="6">
        <f>RANK(NOVWAG[[#This Row],[BB League Total]],NOVWAG[BB League Total], 0)</f>
        <v>24</v>
      </c>
      <c r="L26" s="4">
        <v>85.454545454545467</v>
      </c>
      <c r="N26" s="10">
        <f>NOVWAG[[#This Row],[UB Comp 1]]+NOVWAG[[#This Row],[UB Comp 2]]</f>
        <v>85.454545454545467</v>
      </c>
      <c r="O26" s="6">
        <f>RANK(NOVWAG[[#This Row],[UB League Total]],NOVWAG[UB League Total], 0)</f>
        <v>9</v>
      </c>
      <c r="P26" s="4">
        <v>78.94736842105263</v>
      </c>
      <c r="R26" s="10">
        <f>NOVWAG[[#This Row],[VT Comp 1]]+NOVWAG[[#This Row],[VT Comp 2]]</f>
        <v>78.94736842105263</v>
      </c>
      <c r="S26" s="6">
        <f>RANK(NOVWAG[[#This Row],[VT League Total]],NOVWAG[VT League Total], 0)</f>
        <v>28</v>
      </c>
      <c r="T26" s="4">
        <v>82.683741648106917</v>
      </c>
      <c r="V26" s="10">
        <f>NOVWAG[[#This Row],[AA Comp 1]]+NOVWAG[[#This Row],[AA Comp 2]]</f>
        <v>82.683741648106917</v>
      </c>
      <c r="W26" s="6">
        <f>RANK(NOVWAG[[#This Row],[AA League Total]],NOVWAG[AA League Total], 0)</f>
        <v>25</v>
      </c>
    </row>
    <row r="27" spans="1:23" x14ac:dyDescent="0.2">
      <c r="A27" s="8"/>
      <c r="B27" t="s">
        <v>235</v>
      </c>
      <c r="C27" t="s">
        <v>252</v>
      </c>
      <c r="D27"/>
      <c r="E27">
        <v>81.779661016949163</v>
      </c>
      <c r="F27" s="10">
        <f>NOVWAG[[#This Row],[FX Comp 1]]+NOVWAG[[#This Row],[FX Comp 2]]</f>
        <v>81.779661016949163</v>
      </c>
      <c r="G27" s="6">
        <f>RANK(NOVWAG[[#This Row],[FX League Total]],NOVWAG[FX League Total], 0)</f>
        <v>30</v>
      </c>
      <c r="H27"/>
      <c r="I27">
        <v>86.274509803921589</v>
      </c>
      <c r="J27" s="10">
        <f>NOVWAG[[#This Row],[BB Comp 1]]+NOVWAG[[#This Row],[BB Comp 2]]</f>
        <v>86.274509803921589</v>
      </c>
      <c r="K27" s="6">
        <f>RANK(NOVWAG[[#This Row],[BB League Total]],NOVWAG[BB League Total], 0)</f>
        <v>16</v>
      </c>
      <c r="L27"/>
      <c r="M27">
        <v>0</v>
      </c>
      <c r="N27" s="10">
        <f>NOVWAG[[#This Row],[UB Comp 1]]+NOVWAG[[#This Row],[UB Comp 2]]</f>
        <v>0</v>
      </c>
      <c r="O27" s="6">
        <f>RANK(NOVWAG[[#This Row],[UB League Total]],NOVWAG[UB League Total], 0)</f>
        <v>13</v>
      </c>
      <c r="P27"/>
      <c r="Q27">
        <v>81.343283582089555</v>
      </c>
      <c r="R27" s="10">
        <f>NOVWAG[[#This Row],[VT Comp 1]]+NOVWAG[[#This Row],[VT Comp 2]]</f>
        <v>81.343283582089555</v>
      </c>
      <c r="S27" s="6">
        <f>RANK(NOVWAG[[#This Row],[VT League Total]],NOVWAG[VT League Total], 0)</f>
        <v>27</v>
      </c>
      <c r="T27"/>
      <c r="U27">
        <v>81.983240223463696</v>
      </c>
      <c r="V27" s="10">
        <f>NOVWAG[[#This Row],[AA Comp 1]]+NOVWAG[[#This Row],[AA Comp 2]]</f>
        <v>81.983240223463696</v>
      </c>
      <c r="W27" s="6">
        <f>RANK(NOVWAG[[#This Row],[AA League Total]],NOVWAG[AA League Total], 0)</f>
        <v>26</v>
      </c>
    </row>
    <row r="28" spans="1:23" x14ac:dyDescent="0.2">
      <c r="A28" s="8"/>
      <c r="B28" t="s">
        <v>247</v>
      </c>
      <c r="C28" t="s">
        <v>268</v>
      </c>
      <c r="D28"/>
      <c r="E28">
        <v>85.593220338983059</v>
      </c>
      <c r="F28" s="10">
        <f>NOVWAG[[#This Row],[FX Comp 1]]+NOVWAG[[#This Row],[FX Comp 2]]</f>
        <v>85.593220338983059</v>
      </c>
      <c r="G28" s="6">
        <f>RANK(NOVWAG[[#This Row],[FX League Total]],NOVWAG[FX League Total], 0)</f>
        <v>24</v>
      </c>
      <c r="H28"/>
      <c r="I28">
        <v>0</v>
      </c>
      <c r="J28" s="10">
        <f>NOVWAG[[#This Row],[BB Comp 1]]+NOVWAG[[#This Row],[BB Comp 2]]</f>
        <v>0</v>
      </c>
      <c r="K28" s="6">
        <f>RANK(NOVWAG[[#This Row],[BB League Total]],NOVWAG[BB League Total], 0)</f>
        <v>24</v>
      </c>
      <c r="L28"/>
      <c r="M28">
        <v>74.672489082969435</v>
      </c>
      <c r="N28" s="10">
        <f>NOVWAG[[#This Row],[UB Comp 1]]+NOVWAG[[#This Row],[UB Comp 2]]</f>
        <v>74.672489082969435</v>
      </c>
      <c r="O28" s="6">
        <f>RANK(NOVWAG[[#This Row],[UB League Total]],NOVWAG[UB League Total], 0)</f>
        <v>11</v>
      </c>
      <c r="P28"/>
      <c r="Q28">
        <v>78.358208955223873</v>
      </c>
      <c r="R28" s="10">
        <f>NOVWAG[[#This Row],[VT Comp 1]]+NOVWAG[[#This Row],[VT Comp 2]]</f>
        <v>78.358208955223873</v>
      </c>
      <c r="S28" s="6">
        <f>RANK(NOVWAG[[#This Row],[VT League Total]],NOVWAG[VT League Total], 0)</f>
        <v>29</v>
      </c>
      <c r="T28"/>
      <c r="U28">
        <v>81.424581005586589</v>
      </c>
      <c r="V28" s="10">
        <f>NOVWAG[[#This Row],[AA Comp 1]]+NOVWAG[[#This Row],[AA Comp 2]]</f>
        <v>81.424581005586589</v>
      </c>
      <c r="W28" s="6">
        <f>RANK(NOVWAG[[#This Row],[AA League Total]],NOVWAG[AA League Total], 0)</f>
        <v>27</v>
      </c>
    </row>
    <row r="29" spans="1:23" x14ac:dyDescent="0.2">
      <c r="A29" s="8"/>
      <c r="B29" t="s">
        <v>42</v>
      </c>
      <c r="C29" s="19" t="s">
        <v>274</v>
      </c>
      <c r="E29" s="4">
        <v>86.864406779661024</v>
      </c>
      <c r="F29" s="10">
        <f>NOVWAG[[#This Row],[FX Comp 1]]+NOVWAG[[#This Row],[FX Comp 2]]</f>
        <v>86.864406779661024</v>
      </c>
      <c r="G29" s="6">
        <f>RANK(NOVWAG[[#This Row],[FX League Total]],NOVWAG[FX League Total], 0)</f>
        <v>23</v>
      </c>
      <c r="I29" s="4">
        <v>85.294117647058826</v>
      </c>
      <c r="J29" s="10">
        <f>NOVWAG[[#This Row],[BB Comp 1]]+NOVWAG[[#This Row],[BB Comp 2]]</f>
        <v>85.294117647058826</v>
      </c>
      <c r="K29" s="6">
        <f>RANK(NOVWAG[[#This Row],[BB League Total]],NOVWAG[BB League Total], 0)</f>
        <v>17</v>
      </c>
      <c r="M29" s="4">
        <v>0</v>
      </c>
      <c r="N29" s="10">
        <f>NOVWAG[[#This Row],[UB Comp 1]]+NOVWAG[[#This Row],[UB Comp 2]]</f>
        <v>0</v>
      </c>
      <c r="O29" s="6">
        <f>RANK(NOVWAG[[#This Row],[UB League Total]],NOVWAG[UB League Total], 0)</f>
        <v>13</v>
      </c>
      <c r="Q29" s="4">
        <v>76.119402985074629</v>
      </c>
      <c r="R29" s="10">
        <f>NOVWAG[[#This Row],[VT Comp 1]]+NOVWAG[[#This Row],[VT Comp 2]]</f>
        <v>76.119402985074629</v>
      </c>
      <c r="S29" s="6">
        <f>RANK(NOVWAG[[#This Row],[VT League Total]],NOVWAG[VT League Total], 0)</f>
        <v>34</v>
      </c>
      <c r="U29" s="4">
        <v>81.424581005586589</v>
      </c>
      <c r="V29" s="10">
        <f>NOVWAG[[#This Row],[AA Comp 1]]+NOVWAG[[#This Row],[AA Comp 2]]</f>
        <v>81.424581005586589</v>
      </c>
      <c r="W29" s="6">
        <f>RANK(NOVWAG[[#This Row],[AA League Total]],NOVWAG[AA League Total], 0)</f>
        <v>27</v>
      </c>
    </row>
    <row r="30" spans="1:23" x14ac:dyDescent="0.2">
      <c r="A30" s="8"/>
      <c r="B30" s="21" t="s">
        <v>248</v>
      </c>
      <c r="C30" t="s">
        <v>256</v>
      </c>
      <c r="D30"/>
      <c r="E30">
        <v>94.067796610169495</v>
      </c>
      <c r="F30" s="10">
        <f>NOVWAG[[#This Row],[FX Comp 1]]+NOVWAG[[#This Row],[FX Comp 2]]</f>
        <v>94.067796610169495</v>
      </c>
      <c r="G30" s="6">
        <f>RANK(NOVWAG[[#This Row],[FX League Total]],NOVWAG[FX League Total], 0)</f>
        <v>15</v>
      </c>
      <c r="H30"/>
      <c r="I30">
        <v>73.529411764705884</v>
      </c>
      <c r="J30" s="10">
        <f>NOVWAG[[#This Row],[BB Comp 1]]+NOVWAG[[#This Row],[BB Comp 2]]</f>
        <v>73.529411764705884</v>
      </c>
      <c r="K30" s="6">
        <f>RANK(NOVWAG[[#This Row],[BB League Total]],NOVWAG[BB League Total], 0)</f>
        <v>21</v>
      </c>
      <c r="L30"/>
      <c r="M30">
        <v>0</v>
      </c>
      <c r="N30" s="10">
        <f>NOVWAG[[#This Row],[UB Comp 1]]+NOVWAG[[#This Row],[UB Comp 2]]</f>
        <v>0</v>
      </c>
      <c r="O30" s="6">
        <f>RANK(NOVWAG[[#This Row],[UB League Total]],NOVWAG[UB League Total], 0)</f>
        <v>13</v>
      </c>
      <c r="P30"/>
      <c r="Q30">
        <v>77.611940298507463</v>
      </c>
      <c r="R30" s="10">
        <f>NOVWAG[[#This Row],[VT Comp 1]]+NOVWAG[[#This Row],[VT Comp 2]]</f>
        <v>77.611940298507463</v>
      </c>
      <c r="S30" s="6">
        <f>RANK(NOVWAG[[#This Row],[VT League Total]],NOVWAG[VT League Total], 0)</f>
        <v>32</v>
      </c>
      <c r="T30"/>
      <c r="U30">
        <v>81.005586592178787</v>
      </c>
      <c r="V30" s="10">
        <f>NOVWAG[[#This Row],[AA Comp 1]]+NOVWAG[[#This Row],[AA Comp 2]]</f>
        <v>81.005586592178787</v>
      </c>
      <c r="W30" s="6">
        <f>RANK(NOVWAG[[#This Row],[AA League Total]],NOVWAG[AA League Total], 0)</f>
        <v>29</v>
      </c>
    </row>
    <row r="31" spans="1:23" x14ac:dyDescent="0.2">
      <c r="A31" s="8"/>
      <c r="B31" t="s">
        <v>247</v>
      </c>
      <c r="C31" t="s">
        <v>270</v>
      </c>
      <c r="D31"/>
      <c r="E31">
        <v>85.169491525423751</v>
      </c>
      <c r="F31" s="10">
        <f>NOVWAG[[#This Row],[FX Comp 1]]+NOVWAG[[#This Row],[FX Comp 2]]</f>
        <v>85.169491525423751</v>
      </c>
      <c r="G31" s="6">
        <f>RANK(NOVWAG[[#This Row],[FX League Total]],NOVWAG[FX League Total], 0)</f>
        <v>25</v>
      </c>
      <c r="H31"/>
      <c r="I31">
        <v>76.47058823529413</v>
      </c>
      <c r="J31" s="10">
        <f>NOVWAG[[#This Row],[BB Comp 1]]+NOVWAG[[#This Row],[BB Comp 2]]</f>
        <v>76.47058823529413</v>
      </c>
      <c r="K31" s="6">
        <f>RANK(NOVWAG[[#This Row],[BB League Total]],NOVWAG[BB League Total], 0)</f>
        <v>18</v>
      </c>
      <c r="L31"/>
      <c r="M31">
        <v>0</v>
      </c>
      <c r="N31" s="10">
        <f>NOVWAG[[#This Row],[UB Comp 1]]+NOVWAG[[#This Row],[UB Comp 2]]</f>
        <v>0</v>
      </c>
      <c r="O31" s="6">
        <f>RANK(NOVWAG[[#This Row],[UB League Total]],NOVWAG[UB League Total], 0)</f>
        <v>13</v>
      </c>
      <c r="P31"/>
      <c r="Q31">
        <v>82.835820895522389</v>
      </c>
      <c r="R31" s="10">
        <f>NOVWAG[[#This Row],[VT Comp 1]]+NOVWAG[[#This Row],[VT Comp 2]]</f>
        <v>82.835820895522389</v>
      </c>
      <c r="S31" s="6">
        <f>RANK(NOVWAG[[#This Row],[VT League Total]],NOVWAG[VT League Total], 0)</f>
        <v>26</v>
      </c>
      <c r="T31"/>
      <c r="U31">
        <v>80.86592178770951</v>
      </c>
      <c r="V31" s="10">
        <f>NOVWAG[[#This Row],[AA Comp 1]]+NOVWAG[[#This Row],[AA Comp 2]]</f>
        <v>80.86592178770951</v>
      </c>
      <c r="W31" s="6">
        <f>RANK(NOVWAG[[#This Row],[AA League Total]],NOVWAG[AA League Total], 0)</f>
        <v>30</v>
      </c>
    </row>
    <row r="32" spans="1:23" x14ac:dyDescent="0.2">
      <c r="A32" s="8"/>
      <c r="B32" t="s">
        <v>64</v>
      </c>
      <c r="C32" t="s">
        <v>258</v>
      </c>
      <c r="D32"/>
      <c r="E32">
        <v>82.627118644067806</v>
      </c>
      <c r="F32" s="10">
        <f>NOVWAG[[#This Row],[FX Comp 1]]+NOVWAG[[#This Row],[FX Comp 2]]</f>
        <v>82.627118644067806</v>
      </c>
      <c r="G32" s="6">
        <f>RANK(NOVWAG[[#This Row],[FX League Total]],NOVWAG[FX League Total], 0)</f>
        <v>29</v>
      </c>
      <c r="H32"/>
      <c r="I32">
        <v>76.47058823529413</v>
      </c>
      <c r="J32" s="10">
        <f>NOVWAG[[#This Row],[BB Comp 1]]+NOVWAG[[#This Row],[BB Comp 2]]</f>
        <v>76.47058823529413</v>
      </c>
      <c r="K32" s="6">
        <f>RANK(NOVWAG[[#This Row],[BB League Total]],NOVWAG[BB League Total], 0)</f>
        <v>18</v>
      </c>
      <c r="L32"/>
      <c r="M32">
        <v>0</v>
      </c>
      <c r="N32" s="10">
        <f>NOVWAG[[#This Row],[UB Comp 1]]+NOVWAG[[#This Row],[UB Comp 2]]</f>
        <v>0</v>
      </c>
      <c r="O32" s="6">
        <f>RANK(NOVWAG[[#This Row],[UB League Total]],NOVWAG[UB League Total], 0)</f>
        <v>13</v>
      </c>
      <c r="P32"/>
      <c r="Q32">
        <v>85.074626865671647</v>
      </c>
      <c r="R32" s="10">
        <f>NOVWAG[[#This Row],[VT Comp 1]]+NOVWAG[[#This Row],[VT Comp 2]]</f>
        <v>85.074626865671647</v>
      </c>
      <c r="S32" s="6">
        <f>RANK(NOVWAG[[#This Row],[VT League Total]],NOVWAG[VT League Total], 0)</f>
        <v>21</v>
      </c>
      <c r="T32"/>
      <c r="U32">
        <v>80.86592178770951</v>
      </c>
      <c r="V32" s="10">
        <f>NOVWAG[[#This Row],[AA Comp 1]]+NOVWAG[[#This Row],[AA Comp 2]]</f>
        <v>80.86592178770951</v>
      </c>
      <c r="W32" s="6">
        <f>RANK(NOVWAG[[#This Row],[AA League Total]],NOVWAG[AA League Total], 0)</f>
        <v>30</v>
      </c>
    </row>
    <row r="33" spans="1:23" x14ac:dyDescent="0.2">
      <c r="A33" s="8"/>
      <c r="B33" t="s">
        <v>64</v>
      </c>
      <c r="C33" t="s">
        <v>271</v>
      </c>
      <c r="D33"/>
      <c r="E33">
        <v>73.728813559322035</v>
      </c>
      <c r="F33" s="10">
        <f>NOVWAG[[#This Row],[FX Comp 1]]+NOVWAG[[#This Row],[FX Comp 2]]</f>
        <v>73.728813559322035</v>
      </c>
      <c r="G33" s="6">
        <f>RANK(NOVWAG[[#This Row],[FX League Total]],NOVWAG[FX League Total], 0)</f>
        <v>34</v>
      </c>
      <c r="H33"/>
      <c r="I33">
        <v>74.509803921568633</v>
      </c>
      <c r="J33" s="10">
        <f>NOVWAG[[#This Row],[BB Comp 1]]+NOVWAG[[#This Row],[BB Comp 2]]</f>
        <v>74.509803921568633</v>
      </c>
      <c r="K33" s="6">
        <f>RANK(NOVWAG[[#This Row],[BB League Total]],NOVWAG[BB League Total], 0)</f>
        <v>20</v>
      </c>
      <c r="L33"/>
      <c r="M33">
        <v>0</v>
      </c>
      <c r="N33" s="10">
        <f>NOVWAG[[#This Row],[UB Comp 1]]+NOVWAG[[#This Row],[UB Comp 2]]</f>
        <v>0</v>
      </c>
      <c r="O33" s="6">
        <f>RANK(NOVWAG[[#This Row],[UB League Total]],NOVWAG[UB League Total], 0)</f>
        <v>13</v>
      </c>
      <c r="P33"/>
      <c r="Q33">
        <v>83.582089552238799</v>
      </c>
      <c r="R33" s="10">
        <f>NOVWAG[[#This Row],[VT Comp 1]]+NOVWAG[[#This Row],[VT Comp 2]]</f>
        <v>83.582089552238799</v>
      </c>
      <c r="S33" s="6">
        <f>RANK(NOVWAG[[#This Row],[VT League Total]],NOVWAG[VT League Total], 0)</f>
        <v>24</v>
      </c>
      <c r="T33"/>
      <c r="U33">
        <v>76.815642458100555</v>
      </c>
      <c r="V33" s="10">
        <f>NOVWAG[[#This Row],[AA Comp 1]]+NOVWAG[[#This Row],[AA Comp 2]]</f>
        <v>76.815642458100555</v>
      </c>
      <c r="W33" s="6">
        <f>RANK(NOVWAG[[#This Row],[AA League Total]],NOVWAG[AA League Total], 0)</f>
        <v>32</v>
      </c>
    </row>
    <row r="34" spans="1:23" x14ac:dyDescent="0.2">
      <c r="A34" s="8"/>
      <c r="B34" s="21" t="s">
        <v>50</v>
      </c>
      <c r="C34" t="s">
        <v>262</v>
      </c>
      <c r="D34"/>
      <c r="E34">
        <v>83.050847457627128</v>
      </c>
      <c r="F34" s="10">
        <f>NOVWAG[[#This Row],[FX Comp 1]]+NOVWAG[[#This Row],[FX Comp 2]]</f>
        <v>83.050847457627128</v>
      </c>
      <c r="G34" s="6">
        <f>RANK(NOVWAG[[#This Row],[FX League Total]],NOVWAG[FX League Total], 0)</f>
        <v>28</v>
      </c>
      <c r="H34"/>
      <c r="I34">
        <v>0</v>
      </c>
      <c r="J34" s="10">
        <f>NOVWAG[[#This Row],[BB Comp 1]]+NOVWAG[[#This Row],[BB Comp 2]]</f>
        <v>0</v>
      </c>
      <c r="K34" s="6">
        <f>RANK(NOVWAG[[#This Row],[BB League Total]],NOVWAG[BB League Total], 0)</f>
        <v>24</v>
      </c>
      <c r="L34"/>
      <c r="M34">
        <v>62.008733624454152</v>
      </c>
      <c r="N34" s="10">
        <f>NOVWAG[[#This Row],[UB Comp 1]]+NOVWAG[[#This Row],[UB Comp 2]]</f>
        <v>62.008733624454152</v>
      </c>
      <c r="O34" s="6">
        <f>RANK(NOVWAG[[#This Row],[UB League Total]],NOVWAG[UB League Total], 0)</f>
        <v>12</v>
      </c>
      <c r="P34"/>
      <c r="Q34">
        <v>78.358208955223873</v>
      </c>
      <c r="R34" s="10">
        <f>NOVWAG[[#This Row],[VT Comp 1]]+NOVWAG[[#This Row],[VT Comp 2]]</f>
        <v>78.358208955223873</v>
      </c>
      <c r="S34" s="6">
        <f>RANK(NOVWAG[[#This Row],[VT League Total]],NOVWAG[VT League Total], 0)</f>
        <v>29</v>
      </c>
      <c r="T34"/>
      <c r="U34" s="4">
        <v>76.536312849162016</v>
      </c>
      <c r="V34" s="10">
        <f>NOVWAG[[#This Row],[AA Comp 1]]+NOVWAG[[#This Row],[AA Comp 2]]</f>
        <v>76.536312849162016</v>
      </c>
      <c r="W34" s="6">
        <f>RANK(NOVWAG[[#This Row],[AA League Total]],NOVWAG[AA League Total], 0)</f>
        <v>33</v>
      </c>
    </row>
    <row r="35" spans="1:23" x14ac:dyDescent="0.2">
      <c r="A35" s="8"/>
      <c r="B35" t="s">
        <v>235</v>
      </c>
      <c r="C35" t="s">
        <v>254</v>
      </c>
      <c r="D35"/>
      <c r="E35">
        <v>77.966101694915253</v>
      </c>
      <c r="F35" s="10">
        <f>NOVWAG[[#This Row],[FX Comp 1]]+NOVWAG[[#This Row],[FX Comp 2]]</f>
        <v>77.966101694915253</v>
      </c>
      <c r="G35" s="6">
        <f>RANK(NOVWAG[[#This Row],[FX League Total]],NOVWAG[FX League Total], 0)</f>
        <v>33</v>
      </c>
      <c r="H35"/>
      <c r="I35">
        <v>62.745098039215684</v>
      </c>
      <c r="J35" s="10">
        <f>NOVWAG[[#This Row],[BB Comp 1]]+NOVWAG[[#This Row],[BB Comp 2]]</f>
        <v>62.745098039215684</v>
      </c>
      <c r="K35" s="6">
        <f>RANK(NOVWAG[[#This Row],[BB League Total]],NOVWAG[BB League Total], 0)</f>
        <v>22</v>
      </c>
      <c r="L35"/>
      <c r="M35">
        <v>0</v>
      </c>
      <c r="N35" s="10">
        <f>NOVWAG[[#This Row],[UB Comp 1]]+NOVWAG[[#This Row],[UB Comp 2]]</f>
        <v>0</v>
      </c>
      <c r="O35" s="6">
        <f>RANK(NOVWAG[[#This Row],[UB League Total]],NOVWAG[UB League Total], 0)</f>
        <v>13</v>
      </c>
      <c r="P35"/>
      <c r="Q35">
        <v>77.611940298507463</v>
      </c>
      <c r="R35" s="10">
        <f>NOVWAG[[#This Row],[VT Comp 1]]+NOVWAG[[#This Row],[VT Comp 2]]</f>
        <v>77.611940298507463</v>
      </c>
      <c r="S35" s="6">
        <f>RANK(NOVWAG[[#This Row],[VT League Total]],NOVWAG[VT League Total], 0)</f>
        <v>32</v>
      </c>
      <c r="T35"/>
      <c r="U35">
        <v>72.625698324022352</v>
      </c>
      <c r="V35" s="10">
        <f>NOVWAG[[#This Row],[AA Comp 1]]+NOVWAG[[#This Row],[AA Comp 2]]</f>
        <v>72.625698324022352</v>
      </c>
      <c r="W35" s="6">
        <f>RANK(NOVWAG[[#This Row],[AA League Total]],NOVWAG[AA League Total], 0)</f>
        <v>34</v>
      </c>
    </row>
    <row r="36" spans="1:23" x14ac:dyDescent="0.2">
      <c r="A36" s="8"/>
      <c r="B36" t="s">
        <v>235</v>
      </c>
      <c r="C36" t="s">
        <v>253</v>
      </c>
      <c r="D36"/>
      <c r="E36">
        <v>72.033898305084747</v>
      </c>
      <c r="F36" s="10">
        <f>NOVWAG[[#This Row],[FX Comp 1]]+NOVWAG[[#This Row],[FX Comp 2]]</f>
        <v>72.033898305084747</v>
      </c>
      <c r="G36" s="6">
        <f>RANK(NOVWAG[[#This Row],[FX League Total]],NOVWAG[FX League Total], 0)</f>
        <v>35</v>
      </c>
      <c r="H36"/>
      <c r="I36">
        <v>61.764705882352942</v>
      </c>
      <c r="J36" s="10">
        <f>NOVWAG[[#This Row],[BB Comp 1]]+NOVWAG[[#This Row],[BB Comp 2]]</f>
        <v>61.764705882352942</v>
      </c>
      <c r="K36" s="6">
        <f>RANK(NOVWAG[[#This Row],[BB League Total]],NOVWAG[BB League Total], 0)</f>
        <v>23</v>
      </c>
      <c r="L36"/>
      <c r="M36">
        <v>0</v>
      </c>
      <c r="N36" s="10">
        <f>NOVWAG[[#This Row],[UB Comp 1]]+NOVWAG[[#This Row],[UB Comp 2]]</f>
        <v>0</v>
      </c>
      <c r="O36" s="6">
        <f>RANK(NOVWAG[[#This Row],[UB League Total]],NOVWAG[UB League Total], 0)</f>
        <v>13</v>
      </c>
      <c r="P36"/>
      <c r="Q36">
        <v>75.373134328358205</v>
      </c>
      <c r="R36" s="10">
        <f>NOVWAG[[#This Row],[VT Comp 1]]+NOVWAG[[#This Row],[VT Comp 2]]</f>
        <v>75.373134328358205</v>
      </c>
      <c r="S36" s="6">
        <f>RANK(NOVWAG[[#This Row],[VT League Total]],NOVWAG[VT League Total], 0)</f>
        <v>35</v>
      </c>
      <c r="T36"/>
      <c r="U36">
        <v>69.55307262569832</v>
      </c>
      <c r="V36" s="10">
        <f>NOVWAG[[#This Row],[AA Comp 1]]+NOVWAG[[#This Row],[AA Comp 2]]</f>
        <v>69.55307262569832</v>
      </c>
      <c r="W36" s="6">
        <f>RANK(NOVWAG[[#This Row],[AA League Total]],NOVWAG[AA League Total], 0)</f>
        <v>35</v>
      </c>
    </row>
    <row r="37" spans="1:23" x14ac:dyDescent="0.2">
      <c r="A37" s="8"/>
      <c r="B37" s="21" t="s">
        <v>50</v>
      </c>
      <c r="C37" t="s">
        <v>261</v>
      </c>
      <c r="D37"/>
      <c r="E37">
        <v>0</v>
      </c>
      <c r="F37" s="10">
        <f>NOVWAG[[#This Row],[FX Comp 1]]+NOVWAG[[#This Row],[FX Comp 2]]</f>
        <v>0</v>
      </c>
      <c r="G37" s="6">
        <f>RANK(NOVWAG[[#This Row],[FX League Total]],NOVWAG[FX League Total], 0)</f>
        <v>36</v>
      </c>
      <c r="H37"/>
      <c r="I37">
        <v>0</v>
      </c>
      <c r="J37" s="10">
        <f>NOVWAG[[#This Row],[BB Comp 1]]+NOVWAG[[#This Row],[BB Comp 2]]</f>
        <v>0</v>
      </c>
      <c r="K37" s="6">
        <f>RANK(NOVWAG[[#This Row],[BB League Total]],NOVWAG[BB League Total], 0)</f>
        <v>24</v>
      </c>
      <c r="L37"/>
      <c r="M37">
        <v>0</v>
      </c>
      <c r="N37" s="10">
        <f>NOVWAG[[#This Row],[UB Comp 1]]+NOVWAG[[#This Row],[UB Comp 2]]</f>
        <v>0</v>
      </c>
      <c r="O37" s="6">
        <f>RANK(NOVWAG[[#This Row],[UB League Total]],NOVWAG[UB League Total], 0)</f>
        <v>13</v>
      </c>
      <c r="P37"/>
      <c r="Q37">
        <v>0</v>
      </c>
      <c r="R37" s="10">
        <f>NOVWAG[[#This Row],[VT Comp 1]]+NOVWAG[[#This Row],[VT Comp 2]]</f>
        <v>0</v>
      </c>
      <c r="S37" s="6">
        <f>RANK(NOVWAG[[#This Row],[VT League Total]],NOVWAG[VT League Total], 0)</f>
        <v>36</v>
      </c>
      <c r="T37"/>
      <c r="U37">
        <v>0</v>
      </c>
      <c r="V37" s="10">
        <f>NOVWAG[[#This Row],[AA Comp 1]]+NOVWAG[[#This Row],[AA Comp 2]]</f>
        <v>0</v>
      </c>
      <c r="W37" s="6">
        <f>RANK(NOVWAG[[#This Row],[AA League Total]],NOVWAG[AA League Total], 0)</f>
        <v>36</v>
      </c>
    </row>
    <row r="38" spans="1:23" x14ac:dyDescent="0.2">
      <c r="A38" s="8"/>
      <c r="B38" s="21" t="s">
        <v>248</v>
      </c>
      <c r="C38" t="s">
        <v>259</v>
      </c>
      <c r="D38"/>
      <c r="E38">
        <v>0</v>
      </c>
      <c r="F38" s="10">
        <f>NOVWAG[[#This Row],[FX Comp 1]]+NOVWAG[[#This Row],[FX Comp 2]]</f>
        <v>0</v>
      </c>
      <c r="G38" s="6">
        <f>RANK(NOVWAG[[#This Row],[FX League Total]],NOVWAG[FX League Total], 0)</f>
        <v>36</v>
      </c>
      <c r="H38"/>
      <c r="I38">
        <v>0</v>
      </c>
      <c r="J38" s="10">
        <f>NOVWAG[[#This Row],[BB Comp 1]]+NOVWAG[[#This Row],[BB Comp 2]]</f>
        <v>0</v>
      </c>
      <c r="K38" s="6">
        <f>RANK(NOVWAG[[#This Row],[BB League Total]],NOVWAG[BB League Total], 0)</f>
        <v>24</v>
      </c>
      <c r="L38"/>
      <c r="M38">
        <v>0</v>
      </c>
      <c r="N38" s="10">
        <f>NOVWAG[[#This Row],[UB Comp 1]]+NOVWAG[[#This Row],[UB Comp 2]]</f>
        <v>0</v>
      </c>
      <c r="O38" s="6">
        <f>RANK(NOVWAG[[#This Row],[UB League Total]],NOVWAG[UB League Total], 0)</f>
        <v>13</v>
      </c>
      <c r="P38"/>
      <c r="Q38">
        <v>0</v>
      </c>
      <c r="R38" s="10">
        <f>NOVWAG[[#This Row],[VT Comp 1]]+NOVWAG[[#This Row],[VT Comp 2]]</f>
        <v>0</v>
      </c>
      <c r="S38" s="6">
        <f>RANK(NOVWAG[[#This Row],[VT League Total]],NOVWAG[VT League Total], 0)</f>
        <v>36</v>
      </c>
      <c r="T38"/>
      <c r="U38">
        <v>0</v>
      </c>
      <c r="V38" s="10">
        <f>NOVWAG[[#This Row],[AA Comp 1]]+NOVWAG[[#This Row],[AA Comp 2]]</f>
        <v>0</v>
      </c>
      <c r="W38" s="6">
        <f>RANK(NOVWAG[[#This Row],[AA League Total]],NOVWAG[AA League Total], 0)</f>
        <v>36</v>
      </c>
    </row>
    <row r="39" spans="1:23" x14ac:dyDescent="0.2">
      <c r="A39" s="8"/>
      <c r="B39" s="21" t="s">
        <v>65</v>
      </c>
      <c r="C39" t="s">
        <v>269</v>
      </c>
      <c r="D39"/>
      <c r="E39">
        <v>0</v>
      </c>
      <c r="F39" s="10">
        <f>NOVWAG[[#This Row],[FX Comp 1]]+NOVWAG[[#This Row],[FX Comp 2]]</f>
        <v>0</v>
      </c>
      <c r="G39" s="6">
        <f>RANK(NOVWAG[[#This Row],[FX League Total]],NOVWAG[FX League Total], 0)</f>
        <v>36</v>
      </c>
      <c r="H39"/>
      <c r="I39">
        <v>0</v>
      </c>
      <c r="J39" s="10">
        <f>NOVWAG[[#This Row],[BB Comp 1]]+NOVWAG[[#This Row],[BB Comp 2]]</f>
        <v>0</v>
      </c>
      <c r="K39" s="6">
        <f>RANK(NOVWAG[[#This Row],[BB League Total]],NOVWAG[BB League Total], 0)</f>
        <v>24</v>
      </c>
      <c r="L39"/>
      <c r="M39">
        <v>0</v>
      </c>
      <c r="N39" s="10">
        <f>NOVWAG[[#This Row],[UB Comp 1]]+NOVWAG[[#This Row],[UB Comp 2]]</f>
        <v>0</v>
      </c>
      <c r="O39" s="6">
        <f>RANK(NOVWAG[[#This Row],[UB League Total]],NOVWAG[UB League Total], 0)</f>
        <v>13</v>
      </c>
      <c r="P39"/>
      <c r="Q39">
        <v>0</v>
      </c>
      <c r="R39" s="10">
        <f>NOVWAG[[#This Row],[VT Comp 1]]+NOVWAG[[#This Row],[VT Comp 2]]</f>
        <v>0</v>
      </c>
      <c r="S39" s="6">
        <f>RANK(NOVWAG[[#This Row],[VT League Total]],NOVWAG[VT League Total], 0)</f>
        <v>36</v>
      </c>
      <c r="T39"/>
      <c r="U39">
        <v>0</v>
      </c>
      <c r="V39" s="10">
        <f>NOVWAG[[#This Row],[AA Comp 1]]+NOVWAG[[#This Row],[AA Comp 2]]</f>
        <v>0</v>
      </c>
      <c r="W39" s="6">
        <f>RANK(NOVWAG[[#This Row],[AA League Total]],NOVWAG[AA League Total], 0)</f>
        <v>36</v>
      </c>
    </row>
  </sheetData>
  <conditionalFormatting sqref="G2:G39 K2:K39 O2:O39 S2:S39 W2:W39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8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45DE7-F345-CE42-AC24-266F25D16A7E}">
  <sheetPr codeName="Sheet2">
    <tabColor rgb="FF00B050"/>
  </sheetPr>
  <dimension ref="A1:AO8"/>
  <sheetViews>
    <sheetView zoomScale="112" workbookViewId="0">
      <pane xSplit="3" ySplit="1" topLeftCell="AA2" activePane="bottomRight" state="frozen"/>
      <selection pane="topRight" activeCell="D1" sqref="D1"/>
      <selection pane="bottomLeft" activeCell="A2" sqref="A2"/>
      <selection pane="bottomRight" activeCell="AE1" sqref="AE1"/>
    </sheetView>
  </sheetViews>
  <sheetFormatPr baseColWidth="10" defaultColWidth="11" defaultRowHeight="16" x14ac:dyDescent="0.2"/>
  <cols>
    <col min="1" max="1" width="6.1640625" style="4" customWidth="1"/>
    <col min="2" max="2" width="23.5" style="4" customWidth="1"/>
    <col min="3" max="3" width="23.83203125" style="4" customWidth="1"/>
    <col min="4" max="4" width="13.6640625" style="4" bestFit="1" customWidth="1"/>
    <col min="5" max="16384" width="11" style="4"/>
  </cols>
  <sheetData>
    <row r="1" spans="1:41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4</v>
      </c>
      <c r="H1" s="2" t="s">
        <v>5</v>
      </c>
      <c r="I1" s="2" t="s">
        <v>6</v>
      </c>
      <c r="J1" s="3" t="s">
        <v>7</v>
      </c>
      <c r="K1" s="3" t="s">
        <v>30</v>
      </c>
      <c r="L1" s="2" t="s">
        <v>8</v>
      </c>
      <c r="M1" s="2" t="s">
        <v>9</v>
      </c>
      <c r="N1" s="3" t="s">
        <v>10</v>
      </c>
      <c r="O1" s="3" t="s">
        <v>11</v>
      </c>
      <c r="P1" s="2" t="s">
        <v>12</v>
      </c>
      <c r="Q1" s="2" t="s">
        <v>13</v>
      </c>
      <c r="R1" s="3" t="s">
        <v>14</v>
      </c>
      <c r="S1" s="3" t="s">
        <v>31</v>
      </c>
      <c r="T1" s="2" t="s">
        <v>15</v>
      </c>
      <c r="U1" s="2" t="s">
        <v>16</v>
      </c>
      <c r="V1" s="3" t="s">
        <v>17</v>
      </c>
      <c r="W1" s="3" t="s">
        <v>32</v>
      </c>
      <c r="X1" s="2" t="s">
        <v>18</v>
      </c>
      <c r="Y1" s="2" t="s">
        <v>19</v>
      </c>
      <c r="Z1" s="3" t="s">
        <v>20</v>
      </c>
      <c r="AA1" s="3" t="s">
        <v>33</v>
      </c>
      <c r="AB1" s="2" t="s">
        <v>21</v>
      </c>
      <c r="AC1" s="2" t="s">
        <v>22</v>
      </c>
      <c r="AD1" s="3" t="s">
        <v>23</v>
      </c>
      <c r="AE1" s="3" t="s">
        <v>230</v>
      </c>
    </row>
    <row r="2" spans="1:41" x14ac:dyDescent="0.2">
      <c r="A2"/>
      <c r="B2" s="9" t="s">
        <v>43</v>
      </c>
      <c r="C2" s="9" t="s">
        <v>49</v>
      </c>
      <c r="D2" s="4">
        <v>89.455136893467071</v>
      </c>
      <c r="E2" s="4">
        <v>90.123456790123441</v>
      </c>
      <c r="F2" s="10">
        <f>FIGMAG[[#This Row],[FX Comp 1]]+FIGMAG[[#This Row],[FX Comp 2]]</f>
        <v>179.5785936835905</v>
      </c>
      <c r="G2" s="6">
        <f>RANK(FIGMAG[[#This Row],[FX League Total]],FIGMAG[FX League Total], 0)</f>
        <v>3</v>
      </c>
      <c r="H2" s="4">
        <v>93.638720829732051</v>
      </c>
      <c r="I2" s="5">
        <v>89.754098360655732</v>
      </c>
      <c r="J2" s="10">
        <f>FIGMAG[[#This Row],[PH Comp 1]]+FIGMAG[[#This Row],[PH Comp 2]]</f>
        <v>183.3928191903878</v>
      </c>
      <c r="K2" s="6">
        <f>RANK(FIGMAG[[#This Row],[PH  League Total]],FIGMAG[PH  League Total], 0)</f>
        <v>1</v>
      </c>
      <c r="L2" s="4">
        <v>94.684541108090372</v>
      </c>
      <c r="M2" s="4">
        <v>91.949152542372872</v>
      </c>
      <c r="N2" s="10">
        <f>FIGMAG[[#This Row],[SR Comp 1]]+FIGMAG[[#This Row],[SR Comp 2]]</f>
        <v>186.63369365046324</v>
      </c>
      <c r="O2" s="6">
        <f>RANK(FIGMAG[[#This Row],[SR League Total]],FIGMAG[SR League Total], 0)</f>
        <v>2</v>
      </c>
      <c r="P2" s="4">
        <v>100</v>
      </c>
      <c r="Q2" s="5">
        <v>89.860834990059658</v>
      </c>
      <c r="R2" s="10">
        <f>FIGMAG[[#This Row],[VT Comp 1]]+FIGMAG[[#This Row],[VT Comp 2]]</f>
        <v>189.86083499005966</v>
      </c>
      <c r="S2" s="6">
        <f>RANK(FIGMAG[[#This Row],[VT League Total]],FIGMAG[VT League Total], 0)</f>
        <v>3</v>
      </c>
      <c r="T2" s="4">
        <v>96.761955179107119</v>
      </c>
      <c r="U2" s="5">
        <v>100</v>
      </c>
      <c r="V2" s="10">
        <f>FIGMAG[[#This Row],[PB Comp 1]]+FIGMAG[[#This Row],[PB Comp 2]]</f>
        <v>196.76195517910713</v>
      </c>
      <c r="W2" s="6">
        <f>RANK(FIGMAG[[#This Row],[PB League Total]],FIGMAG[PB League Total], 0)</f>
        <v>1</v>
      </c>
      <c r="X2" s="4">
        <v>98.763153036736199</v>
      </c>
      <c r="Y2" s="5">
        <v>95.192307692307693</v>
      </c>
      <c r="Z2" s="10">
        <f>FIGMAG[[#This Row],[HB Comp 1]]+FIGMAG[[#This Row],[HB Comp 2]]</f>
        <v>193.95546072904389</v>
      </c>
      <c r="AA2" s="6">
        <f>RANK(FIGMAG[[#This Row],[HB League Total]],FIGMAG[HB League Total], 0)</f>
        <v>2</v>
      </c>
      <c r="AB2" s="4">
        <v>100</v>
      </c>
      <c r="AC2" s="4">
        <v>96.061269146608325</v>
      </c>
      <c r="AD2" s="10">
        <f>FIGMAG[[#This Row],[AA Comp 1]]+FIGMAG[[#This Row],[AA Comp 2]]</f>
        <v>196.06126914660831</v>
      </c>
      <c r="AE2" s="6">
        <f>RANK(FIGMAG[[#This Row],[AA League Total]],FIGMAG[AA League Total], 0)</f>
        <v>1</v>
      </c>
    </row>
    <row r="3" spans="1:41" x14ac:dyDescent="0.2">
      <c r="A3"/>
      <c r="B3" s="9" t="s">
        <v>43</v>
      </c>
      <c r="C3" s="9" t="s">
        <v>48</v>
      </c>
      <c r="D3" s="5">
        <v>82.831842414385108</v>
      </c>
      <c r="E3" s="5">
        <v>86.419753086419746</v>
      </c>
      <c r="F3" s="10">
        <f>FIGMAG[[#This Row],[FX Comp 1]]+FIGMAG[[#This Row],[FX Comp 2]]</f>
        <v>169.25159550080485</v>
      </c>
      <c r="G3" s="6">
        <f>RANK(FIGMAG[[#This Row],[FX League Total]],FIGMAG[FX League Total], 0)</f>
        <v>5</v>
      </c>
      <c r="H3" s="5">
        <v>78.081244598098536</v>
      </c>
      <c r="I3" s="5">
        <v>100</v>
      </c>
      <c r="J3" s="10">
        <f>FIGMAG[[#This Row],[PH Comp 1]]+FIGMAG[[#This Row],[PH Comp 2]]</f>
        <v>178.08124459809852</v>
      </c>
      <c r="K3" s="6">
        <f>RANK(FIGMAG[[#This Row],[PH  League Total]],FIGMAG[PH  League Total], 0)</f>
        <v>2</v>
      </c>
      <c r="L3" s="5">
        <v>100</v>
      </c>
      <c r="M3" s="5">
        <v>100</v>
      </c>
      <c r="N3" s="10">
        <f>FIGMAG[[#This Row],[SR Comp 1]]+FIGMAG[[#This Row],[SR Comp 2]]</f>
        <v>200</v>
      </c>
      <c r="O3" s="6">
        <f>RANK(FIGMAG[[#This Row],[SR League Total]],FIGMAG[SR League Total], 0)</f>
        <v>1</v>
      </c>
      <c r="P3" s="5">
        <v>97.815764482431163</v>
      </c>
      <c r="Q3" s="5">
        <v>100</v>
      </c>
      <c r="R3" s="10">
        <f>FIGMAG[[#This Row],[VT Comp 1]]+FIGMAG[[#This Row],[VT Comp 2]]</f>
        <v>197.81576448243118</v>
      </c>
      <c r="S3" s="6">
        <f>RANK(FIGMAG[[#This Row],[VT League Total]],FIGMAG[VT League Total], 0)</f>
        <v>1</v>
      </c>
      <c r="T3" s="5">
        <v>87.647785424386797</v>
      </c>
      <c r="U3" s="5">
        <v>89.130434782608688</v>
      </c>
      <c r="V3" s="10">
        <f>FIGMAG[[#This Row],[PB Comp 1]]+FIGMAG[[#This Row],[PB Comp 2]]</f>
        <v>176.77822020699548</v>
      </c>
      <c r="W3" s="6">
        <f>RANK(FIGMAG[[#This Row],[PB League Total]],FIGMAG[PB League Total], 0)</f>
        <v>3</v>
      </c>
      <c r="X3" s="5">
        <v>100</v>
      </c>
      <c r="Y3" s="5">
        <v>100</v>
      </c>
      <c r="Z3" s="10">
        <f>FIGMAG[[#This Row],[HB Comp 1]]+FIGMAG[[#This Row],[HB Comp 2]]</f>
        <v>200</v>
      </c>
      <c r="AA3" s="6">
        <f>RANK(FIGMAG[[#This Row],[HB League Total]],FIGMAG[HB League Total], 0)</f>
        <v>1</v>
      </c>
      <c r="AB3" s="5">
        <v>95.089717757928639</v>
      </c>
      <c r="AC3" s="4">
        <v>100</v>
      </c>
      <c r="AD3" s="10">
        <f>FIGMAG[[#This Row],[AA Comp 1]]+FIGMAG[[#This Row],[AA Comp 2]]</f>
        <v>195.08971775792864</v>
      </c>
      <c r="AE3" s="6">
        <f>RANK(FIGMAG[[#This Row],[AA League Total]],FIGMAG[AA League Total], 0)</f>
        <v>2</v>
      </c>
    </row>
    <row r="4" spans="1:41" x14ac:dyDescent="0.2">
      <c r="A4"/>
      <c r="B4" t="s">
        <v>42</v>
      </c>
      <c r="C4" t="s">
        <v>46</v>
      </c>
      <c r="D4" s="4">
        <v>71.690611728562388</v>
      </c>
      <c r="E4" s="5">
        <v>100</v>
      </c>
      <c r="F4" s="10">
        <f>FIGMAG[[#This Row],[FX Comp 1]]+FIGMAG[[#This Row],[FX Comp 2]]</f>
        <v>171.69061172856237</v>
      </c>
      <c r="G4" s="6">
        <f>RANK(FIGMAG[[#This Row],[FX League Total]],FIGMAG[FX League Total], 0)</f>
        <v>4</v>
      </c>
      <c r="H4" s="5">
        <v>100</v>
      </c>
      <c r="I4" s="5">
        <v>75.819672131147541</v>
      </c>
      <c r="J4" s="10">
        <f>FIGMAG[[#This Row],[PH Comp 1]]+FIGMAG[[#This Row],[PH Comp 2]]</f>
        <v>175.81967213114754</v>
      </c>
      <c r="K4" s="6">
        <f>RANK(FIGMAG[[#This Row],[PH  League Total]],FIGMAG[PH  League Total], 0)</f>
        <v>3</v>
      </c>
      <c r="L4" s="5">
        <v>89.378456923221165</v>
      </c>
      <c r="M4" s="5">
        <v>91.949152542372886</v>
      </c>
      <c r="N4" s="10">
        <f>FIGMAG[[#This Row],[SR Comp 1]]+FIGMAG[[#This Row],[SR Comp 2]]</f>
        <v>181.32760946559404</v>
      </c>
      <c r="O4" s="6">
        <f>RANK(FIGMAG[[#This Row],[SR League Total]],FIGMAG[SR League Total], 0)</f>
        <v>3</v>
      </c>
      <c r="P4" s="5">
        <v>90.854700854700866</v>
      </c>
      <c r="Q4" s="5">
        <v>92.842942345924456</v>
      </c>
      <c r="R4" s="10">
        <f>FIGMAG[[#This Row],[VT Comp 1]]+FIGMAG[[#This Row],[VT Comp 2]]</f>
        <v>183.69764320062532</v>
      </c>
      <c r="S4" s="6">
        <f>RANK(FIGMAG[[#This Row],[VT League Total]],FIGMAG[VT League Total], 0)</f>
        <v>4</v>
      </c>
      <c r="T4" s="5">
        <v>100</v>
      </c>
      <c r="U4" s="5">
        <v>96.521739130434796</v>
      </c>
      <c r="V4" s="10">
        <f>FIGMAG[[#This Row],[PB Comp 1]]+FIGMAG[[#This Row],[PB Comp 2]]</f>
        <v>196.52173913043481</v>
      </c>
      <c r="W4" s="6">
        <f>RANK(FIGMAG[[#This Row],[PB League Total]],FIGMAG[PB League Total], 0)</f>
        <v>2</v>
      </c>
      <c r="X4" s="5">
        <v>94.461879268968062</v>
      </c>
      <c r="Y4" s="5">
        <v>95.192307692307693</v>
      </c>
      <c r="Z4" s="10">
        <f>FIGMAG[[#This Row],[HB Comp 1]]+FIGMAG[[#This Row],[HB Comp 2]]</f>
        <v>189.65418696127574</v>
      </c>
      <c r="AA4" s="6">
        <f>RANK(FIGMAG[[#This Row],[HB League Total]],FIGMAG[HB League Total], 0)</f>
        <v>3</v>
      </c>
      <c r="AB4" s="5">
        <v>95.465723215560601</v>
      </c>
      <c r="AC4" s="5">
        <v>96.717724288840273</v>
      </c>
      <c r="AD4" s="10">
        <f>FIGMAG[[#This Row],[AA Comp 1]]+FIGMAG[[#This Row],[AA Comp 2]]</f>
        <v>192.18344750440087</v>
      </c>
      <c r="AE4" s="6">
        <f>RANK(FIGMAG[[#This Row],[AA League Total]],FIGMAG[AA League Total], 0)</f>
        <v>3</v>
      </c>
    </row>
    <row r="5" spans="1:41" x14ac:dyDescent="0.2">
      <c r="A5"/>
      <c r="B5" t="s">
        <v>42</v>
      </c>
      <c r="C5" t="s">
        <v>47</v>
      </c>
      <c r="D5" s="5">
        <v>81.630071383392064</v>
      </c>
      <c r="E5" s="5">
        <v>0</v>
      </c>
      <c r="F5" s="10">
        <f>FIGMAG[[#This Row],[FX Comp 1]]+FIGMAG[[#This Row],[FX Comp 2]]</f>
        <v>81.630071383392064</v>
      </c>
      <c r="G5" s="6">
        <f>RANK(FIGMAG[[#This Row],[FX League Total]],FIGMAG[FX League Total], 0)</f>
        <v>6</v>
      </c>
      <c r="H5" s="5">
        <v>1.7286084701815041</v>
      </c>
      <c r="I5" s="5">
        <v>72.540983606557376</v>
      </c>
      <c r="J5" s="10">
        <f>FIGMAG[[#This Row],[PH Comp 1]]+FIGMAG[[#This Row],[PH Comp 2]]</f>
        <v>74.269592076738874</v>
      </c>
      <c r="K5" s="6">
        <f>RANK(FIGMAG[[#This Row],[PH  League Total]],FIGMAG[PH  League Total], 0)</f>
        <v>4</v>
      </c>
      <c r="L5" s="5">
        <v>90.315927627261644</v>
      </c>
      <c r="M5" s="5">
        <v>83.474576271186436</v>
      </c>
      <c r="N5" s="10">
        <f>FIGMAG[[#This Row],[SR Comp 1]]+FIGMAG[[#This Row],[SR Comp 2]]</f>
        <v>173.79050389844809</v>
      </c>
      <c r="O5" s="6">
        <f>RANK(FIGMAG[[#This Row],[SR League Total]],FIGMAG[SR League Total], 0)</f>
        <v>4</v>
      </c>
      <c r="P5" s="5">
        <v>97.815764482431163</v>
      </c>
      <c r="Q5" s="5">
        <v>0</v>
      </c>
      <c r="R5" s="10">
        <f>FIGMAG[[#This Row],[VT Comp 1]]+FIGMAG[[#This Row],[VT Comp 2]]</f>
        <v>97.815764482431163</v>
      </c>
      <c r="S5" s="6">
        <f>RANK(FIGMAG[[#This Row],[VT League Total]],FIGMAG[VT League Total], 0)</f>
        <v>6</v>
      </c>
      <c r="T5" s="5">
        <v>0</v>
      </c>
      <c r="U5" s="5">
        <v>68.260869565217391</v>
      </c>
      <c r="V5" s="10">
        <f>FIGMAG[[#This Row],[PB Comp 1]]+FIGMAG[[#This Row],[PB Comp 2]]</f>
        <v>68.260869565217391</v>
      </c>
      <c r="W5" s="6">
        <f>RANK(FIGMAG[[#This Row],[PB League Total]],FIGMAG[PB League Total], 0)</f>
        <v>4</v>
      </c>
      <c r="X5" s="5">
        <v>0</v>
      </c>
      <c r="Y5" s="5">
        <v>74.038461538461547</v>
      </c>
      <c r="Z5" s="10">
        <f>FIGMAG[[#This Row],[HB Comp 1]]+FIGMAG[[#This Row],[HB Comp 2]]</f>
        <v>74.038461538461547</v>
      </c>
      <c r="AA5" s="6">
        <f>RANK(FIGMAG[[#This Row],[HB League Total]],FIGMAG[HB League Total], 0)</f>
        <v>4</v>
      </c>
      <c r="AB5" s="5">
        <v>46.275642144341674</v>
      </c>
      <c r="AC5" s="4">
        <v>49.963530269876003</v>
      </c>
      <c r="AD5" s="10">
        <f>FIGMAG[[#This Row],[AA Comp 1]]+FIGMAG[[#This Row],[AA Comp 2]]</f>
        <v>96.239172414217677</v>
      </c>
      <c r="AE5" s="6">
        <f>RANK(FIGMAG[[#This Row],[AA League Total]],FIGMAG[AA League Total], 0)</f>
        <v>4</v>
      </c>
    </row>
    <row r="6" spans="1:41" x14ac:dyDescent="0.2">
      <c r="A6"/>
      <c r="B6" t="s">
        <v>42</v>
      </c>
      <c r="C6" t="s">
        <v>45</v>
      </c>
      <c r="D6" s="5">
        <v>99.096412758651852</v>
      </c>
      <c r="E6" s="5">
        <v>99.176954732510296</v>
      </c>
      <c r="F6" s="10">
        <f>FIGMAG[[#This Row],[FX Comp 1]]+FIGMAG[[#This Row],[FX Comp 2]]</f>
        <v>198.27336749116216</v>
      </c>
      <c r="G6" s="6">
        <f>RANK(FIGMAG[[#This Row],[FX League Total]],FIGMAG[FX League Total], 0)</f>
        <v>1</v>
      </c>
      <c r="H6" s="5">
        <v>0</v>
      </c>
      <c r="I6" s="5">
        <v>0</v>
      </c>
      <c r="J6" s="10">
        <f>FIGMAG[[#This Row],[PH Comp 1]]+FIGMAG[[#This Row],[PH Comp 2]]</f>
        <v>0</v>
      </c>
      <c r="K6" s="6">
        <f>RANK(FIGMAG[[#This Row],[PH  League Total]],FIGMAG[PH  League Total], 0)</f>
        <v>5</v>
      </c>
      <c r="L6" s="5">
        <v>0</v>
      </c>
      <c r="M6" s="5">
        <v>0</v>
      </c>
      <c r="N6" s="10">
        <f>FIGMAG[[#This Row],[SR Comp 1]]+FIGMAG[[#This Row],[SR Comp 2]]</f>
        <v>0</v>
      </c>
      <c r="O6" s="6">
        <f>RANK(FIGMAG[[#This Row],[SR League Total]],FIGMAG[SR League Total], 0)</f>
        <v>6</v>
      </c>
      <c r="P6" s="5">
        <v>98.138651471984801</v>
      </c>
      <c r="Q6" s="5">
        <v>93.041749502982114</v>
      </c>
      <c r="R6" s="10">
        <f>FIGMAG[[#This Row],[VT Comp 1]]+FIGMAG[[#This Row],[VT Comp 2]]</f>
        <v>191.18040097496691</v>
      </c>
      <c r="S6" s="6">
        <f>RANK(FIGMAG[[#This Row],[VT League Total]],FIGMAG[VT League Total], 0)</f>
        <v>2</v>
      </c>
      <c r="T6" s="5">
        <v>0</v>
      </c>
      <c r="U6" s="5">
        <v>0</v>
      </c>
      <c r="V6" s="10">
        <f>FIGMAG[[#This Row],[PB Comp 1]]+FIGMAG[[#This Row],[PB Comp 2]]</f>
        <v>0</v>
      </c>
      <c r="W6" s="6">
        <f>RANK(FIGMAG[[#This Row],[PB League Total]],FIGMAG[PB League Total], 0)</f>
        <v>5</v>
      </c>
      <c r="X6" s="5">
        <v>0</v>
      </c>
      <c r="Y6" s="5">
        <v>0</v>
      </c>
      <c r="Z6" s="10">
        <f>FIGMAG[[#This Row],[HB Comp 1]]+FIGMAG[[#This Row],[HB Comp 2]]</f>
        <v>0</v>
      </c>
      <c r="AA6" s="6">
        <f>RANK(FIGMAG[[#This Row],[HB League Total]],FIGMAG[HB League Total], 0)</f>
        <v>5</v>
      </c>
      <c r="AB6" s="5">
        <v>33.794482080246233</v>
      </c>
      <c r="AC6" s="4">
        <v>35.448577680525169</v>
      </c>
      <c r="AD6" s="10">
        <f>FIGMAG[[#This Row],[AA Comp 1]]+FIGMAG[[#This Row],[AA Comp 2]]</f>
        <v>69.243059760771402</v>
      </c>
      <c r="AE6" s="6">
        <f>RANK(FIGMAG[[#This Row],[AA League Total]],FIGMAG[AA League Total], 0)</f>
        <v>5</v>
      </c>
    </row>
    <row r="7" spans="1:41" x14ac:dyDescent="0.2">
      <c r="A7"/>
      <c r="B7" s="7" t="s">
        <v>42</v>
      </c>
      <c r="C7" t="s">
        <v>44</v>
      </c>
      <c r="D7" s="5">
        <v>100</v>
      </c>
      <c r="E7" s="5">
        <v>97.119341563786008</v>
      </c>
      <c r="F7" s="10">
        <f>FIGMAG[[#This Row],[FX Comp 1]]+FIGMAG[[#This Row],[FX Comp 2]]</f>
        <v>197.11934156378601</v>
      </c>
      <c r="G7" s="6">
        <f>RANK(FIGMAG[[#This Row],[FX League Total]],FIGMAG[FX League Total], 0)</f>
        <v>2</v>
      </c>
      <c r="H7" s="5">
        <v>0</v>
      </c>
      <c r="I7" s="5">
        <v>0</v>
      </c>
      <c r="J7" s="10">
        <f>FIGMAG[[#This Row],[PH Comp 1]]+FIGMAG[[#This Row],[PH Comp 2]]</f>
        <v>0</v>
      </c>
      <c r="K7" s="6">
        <f>RANK(FIGMAG[[#This Row],[PH  League Total]],FIGMAG[PH  League Total], 0)</f>
        <v>5</v>
      </c>
      <c r="L7" s="5">
        <v>0</v>
      </c>
      <c r="M7" s="5">
        <v>0</v>
      </c>
      <c r="N7" s="10">
        <f>FIGMAG[[#This Row],[SR Comp 1]]+FIGMAG[[#This Row],[SR Comp 2]]</f>
        <v>0</v>
      </c>
      <c r="O7" s="6">
        <f>RANK(FIGMAG[[#This Row],[SR League Total]],FIGMAG[SR League Total], 0)</f>
        <v>6</v>
      </c>
      <c r="P7" s="5">
        <v>98.480531813865142</v>
      </c>
      <c r="Q7" s="5">
        <v>83.697813121272361</v>
      </c>
      <c r="R7" s="10">
        <f>FIGMAG[[#This Row],[VT Comp 1]]+FIGMAG[[#This Row],[VT Comp 2]]</f>
        <v>182.17834493513749</v>
      </c>
      <c r="S7" s="6">
        <f>RANK(FIGMAG[[#This Row],[VT League Total]],FIGMAG[VT League Total], 0)</f>
        <v>5</v>
      </c>
      <c r="T7" s="5">
        <v>0</v>
      </c>
      <c r="U7" s="5">
        <v>0</v>
      </c>
      <c r="V7" s="10">
        <f>FIGMAG[[#This Row],[PB Comp 1]]+FIGMAG[[#This Row],[PB Comp 2]]</f>
        <v>0</v>
      </c>
      <c r="W7" s="6">
        <f>RANK(FIGMAG[[#This Row],[PB League Total]],FIGMAG[PB League Total], 0)</f>
        <v>5</v>
      </c>
      <c r="X7" s="5">
        <v>0</v>
      </c>
      <c r="Y7" s="5">
        <v>0</v>
      </c>
      <c r="Z7" s="10">
        <f>FIGMAG[[#This Row],[HB Comp 1]]+FIGMAG[[#This Row],[HB Comp 2]]</f>
        <v>0</v>
      </c>
      <c r="AA7" s="6">
        <f>RANK(FIGMAG[[#This Row],[HB League Total]],FIGMAG[HB League Total], 0)</f>
        <v>5</v>
      </c>
      <c r="AB7" s="5">
        <v>34.010248925132068</v>
      </c>
      <c r="AC7" s="5">
        <v>33.187454412837347</v>
      </c>
      <c r="AD7" s="10">
        <f>FIGMAG[[#This Row],[AA Comp 1]]+FIGMAG[[#This Row],[AA Comp 2]]</f>
        <v>67.197703337969415</v>
      </c>
      <c r="AE7" s="6">
        <f>RANK(FIGMAG[[#This Row],[AA League Total]],FIGMAG[AA League Total], 0)</f>
        <v>6</v>
      </c>
    </row>
    <row r="8" spans="1:41" x14ac:dyDescent="0.2">
      <c r="A8"/>
      <c r="B8" t="s">
        <v>42</v>
      </c>
      <c r="C8" s="9" t="s">
        <v>231</v>
      </c>
      <c r="D8" s="5"/>
      <c r="E8" s="5">
        <v>0</v>
      </c>
      <c r="F8" s="6"/>
      <c r="G8" s="6"/>
      <c r="H8" s="5"/>
      <c r="I8" s="5">
        <v>0</v>
      </c>
      <c r="J8" s="10">
        <f>FIGMAG[[#This Row],[PH Comp 1]]+FIGMAG[[#This Row],[PH Comp 2]]</f>
        <v>0</v>
      </c>
      <c r="K8" s="6"/>
      <c r="L8" s="5"/>
      <c r="M8" s="5">
        <v>87.711864406779654</v>
      </c>
      <c r="N8" s="10">
        <f>FIGMAG[[#This Row],[SR Comp 1]]+FIGMAG[[#This Row],[SR Comp 2]]</f>
        <v>87.711864406779654</v>
      </c>
      <c r="O8" s="6"/>
      <c r="P8" s="5"/>
      <c r="Q8" s="5">
        <v>90.457256461232603</v>
      </c>
      <c r="R8" s="10">
        <f>FIGMAG[[#This Row],[VT Comp 1]]+FIGMAG[[#This Row],[VT Comp 2]]</f>
        <v>90.457256461232603</v>
      </c>
      <c r="S8" s="6"/>
      <c r="T8" s="5"/>
      <c r="U8" s="5">
        <v>0</v>
      </c>
      <c r="V8" s="10">
        <f>FIGMAG[[#This Row],[PB Comp 1]]+FIGMAG[[#This Row],[PB Comp 2]]</f>
        <v>0</v>
      </c>
      <c r="W8" s="6"/>
      <c r="X8" s="5"/>
      <c r="Y8" s="5">
        <v>0</v>
      </c>
      <c r="Z8" s="10">
        <f>FIGMAG[[#This Row],[HB Comp 1]]+FIGMAG[[#This Row],[HB Comp 2]]</f>
        <v>0</v>
      </c>
      <c r="AA8" s="6"/>
      <c r="AB8" s="5"/>
      <c r="AC8" s="4">
        <v>32.603938730853393</v>
      </c>
      <c r="AD8" s="10">
        <f>FIGMAG[[#This Row],[AA Comp 1]]+FIGMAG[[#This Row],[AA Comp 2]]</f>
        <v>32.603938730853393</v>
      </c>
      <c r="AE8" s="6"/>
      <c r="AF8"/>
      <c r="AG8"/>
      <c r="AH8"/>
      <c r="AI8"/>
      <c r="AJ8"/>
      <c r="AK8"/>
      <c r="AL8"/>
      <c r="AM8"/>
      <c r="AN8"/>
      <c r="AO8"/>
    </row>
  </sheetData>
  <sortState xmlns:xlrd2="http://schemas.microsoft.com/office/spreadsheetml/2017/richdata2" ref="A2:AE5">
    <sortCondition ref="A2:A5"/>
  </sortState>
  <phoneticPr fontId="1" type="noConversion"/>
  <conditionalFormatting sqref="G2:G8 K2:K8 O2:O8 AA2:AA8 AE2:AE8 I9:I1048576">
    <cfRule type="cellIs" dxfId="83" priority="32" operator="equal">
      <formula>3</formula>
    </cfRule>
    <cfRule type="cellIs" dxfId="82" priority="33" operator="equal">
      <formula>2</formula>
    </cfRule>
    <cfRule type="cellIs" dxfId="81" priority="34" operator="equal">
      <formula>1</formula>
    </cfRule>
  </conditionalFormatting>
  <conditionalFormatting sqref="O9:O1048576">
    <cfRule type="cellIs" dxfId="80" priority="29" operator="equal">
      <formula>3</formula>
    </cfRule>
    <cfRule type="cellIs" dxfId="79" priority="30" operator="equal">
      <formula>2</formula>
    </cfRule>
    <cfRule type="cellIs" dxfId="78" priority="31" operator="equal">
      <formula>1</formula>
    </cfRule>
  </conditionalFormatting>
  <conditionalFormatting sqref="S2:S8">
    <cfRule type="cellIs" dxfId="77" priority="10" operator="equal">
      <formula>3</formula>
    </cfRule>
    <cfRule type="cellIs" dxfId="76" priority="11" operator="equal">
      <formula>2</formula>
    </cfRule>
    <cfRule type="cellIs" dxfId="75" priority="12" operator="equal">
      <formula>1</formula>
    </cfRule>
  </conditionalFormatting>
  <conditionalFormatting sqref="U9:U1048576">
    <cfRule type="cellIs" dxfId="74" priority="26" operator="equal">
      <formula>3</formula>
    </cfRule>
    <cfRule type="cellIs" dxfId="73" priority="27" operator="equal">
      <formula>2</formula>
    </cfRule>
    <cfRule type="cellIs" dxfId="72" priority="28" operator="equal">
      <formula>1</formula>
    </cfRule>
  </conditionalFormatting>
  <conditionalFormatting sqref="W2:W8">
    <cfRule type="cellIs" dxfId="71" priority="4" operator="equal">
      <formula>3</formula>
    </cfRule>
    <cfRule type="cellIs" dxfId="70" priority="5" operator="equal">
      <formula>2</formula>
    </cfRule>
    <cfRule type="cellIs" dxfId="69" priority="6" operator="equal">
      <formula>1</formula>
    </cfRule>
  </conditionalFormatting>
  <conditionalFormatting sqref="AI9:AI1048576">
    <cfRule type="cellIs" dxfId="68" priority="17" operator="equal">
      <formula>3</formula>
    </cfRule>
    <cfRule type="cellIs" dxfId="67" priority="18" operator="equal">
      <formula>2</formula>
    </cfRule>
    <cfRule type="cellIs" dxfId="66" priority="19" operator="equal">
      <formula>1</formula>
    </cfRule>
  </conditionalFormatting>
  <conditionalFormatting sqref="AO9:AO1048576">
    <cfRule type="cellIs" dxfId="65" priority="14" operator="equal">
      <formula>3</formula>
    </cfRule>
    <cfRule type="cellIs" dxfId="64" priority="15" operator="equal">
      <formula>2</formula>
    </cfRule>
    <cfRule type="cellIs" dxfId="63" priority="16" operator="equal">
      <formula>1</formula>
    </cfRule>
  </conditionalFormatting>
  <pageMargins left="0.7" right="0.7" top="0.75" bottom="0.75" header="0.3" footer="0.3"/>
  <pageSetup paperSize="8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BC586-56AF-1945-80E4-160B19777233}">
  <sheetPr>
    <tabColor rgb="FF00B050"/>
  </sheetPr>
  <dimension ref="A1:AE18"/>
  <sheetViews>
    <sheetView zoomScale="118" zoomScaleNormal="85" workbookViewId="0">
      <pane xSplit="3" topLeftCell="AC1" activePane="topRight" state="frozen"/>
      <selection pane="topRight" activeCell="AE1" sqref="AE1"/>
    </sheetView>
  </sheetViews>
  <sheetFormatPr baseColWidth="10" defaultColWidth="11" defaultRowHeight="16" x14ac:dyDescent="0.2"/>
  <cols>
    <col min="1" max="1" width="8.33203125" style="4" bestFit="1" customWidth="1"/>
    <col min="2" max="2" width="23.5" style="4" customWidth="1"/>
    <col min="3" max="3" width="23.83203125" style="4" customWidth="1"/>
    <col min="4" max="4" width="13.6640625" style="4" bestFit="1" customWidth="1"/>
    <col min="5" max="16384" width="11" style="4"/>
  </cols>
  <sheetData>
    <row r="1" spans="1:31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4</v>
      </c>
      <c r="H1" s="2" t="s">
        <v>5</v>
      </c>
      <c r="I1" s="2" t="s">
        <v>6</v>
      </c>
      <c r="J1" s="3" t="s">
        <v>7</v>
      </c>
      <c r="K1" s="3" t="s">
        <v>30</v>
      </c>
      <c r="L1" s="2" t="s">
        <v>8</v>
      </c>
      <c r="M1" s="2" t="s">
        <v>9</v>
      </c>
      <c r="N1" s="3" t="s">
        <v>10</v>
      </c>
      <c r="O1" s="3" t="s">
        <v>11</v>
      </c>
      <c r="P1" s="2" t="s">
        <v>12</v>
      </c>
      <c r="Q1" s="2" t="s">
        <v>13</v>
      </c>
      <c r="R1" s="3" t="s">
        <v>14</v>
      </c>
      <c r="S1" s="3" t="s">
        <v>31</v>
      </c>
      <c r="T1" s="2" t="s">
        <v>15</v>
      </c>
      <c r="U1" s="2" t="s">
        <v>16</v>
      </c>
      <c r="V1" s="3" t="s">
        <v>17</v>
      </c>
      <c r="W1" s="3" t="s">
        <v>32</v>
      </c>
      <c r="X1" s="2" t="s">
        <v>18</v>
      </c>
      <c r="Y1" s="2" t="s">
        <v>19</v>
      </c>
      <c r="Z1" s="3" t="s">
        <v>20</v>
      </c>
      <c r="AA1" s="3" t="s">
        <v>33</v>
      </c>
      <c r="AB1" s="2" t="s">
        <v>21</v>
      </c>
      <c r="AC1" s="2" t="s">
        <v>22</v>
      </c>
      <c r="AD1" s="3" t="s">
        <v>23</v>
      </c>
      <c r="AE1" s="3" t="s">
        <v>34</v>
      </c>
    </row>
    <row r="2" spans="1:31" x14ac:dyDescent="0.2">
      <c r="A2"/>
      <c r="B2" s="9" t="s">
        <v>52</v>
      </c>
      <c r="C2" s="9" t="s">
        <v>58</v>
      </c>
      <c r="D2" s="5">
        <v>94.957983193277315</v>
      </c>
      <c r="E2" s="5">
        <v>92.682926829268283</v>
      </c>
      <c r="F2" s="10">
        <f>ADVPMAG[[#This Row],[FX Comp 1]]+ADVPMAG[[#This Row],[FX Comp 2]]</f>
        <v>187.6409100225456</v>
      </c>
      <c r="G2" s="6">
        <f>RANK(ADVPMAG[[#This Row],[FX League Total]],ADVPMAG[FX League Total], 0)</f>
        <v>3</v>
      </c>
      <c r="H2" s="5">
        <v>92.452830188679258</v>
      </c>
      <c r="I2" s="5">
        <v>93.203883495145618</v>
      </c>
      <c r="J2" s="10">
        <f>ADVPMAG[[#This Row],[PH Comp 1]]+ADVPMAG[[#This Row],[PH Comp 2]]</f>
        <v>185.65671368382488</v>
      </c>
      <c r="K2" s="6">
        <f>RANK(ADVPMAG[[#This Row],[PH  League Total]],ADVPMAG[PH  League Total], 0)</f>
        <v>2</v>
      </c>
      <c r="L2" s="5">
        <v>100</v>
      </c>
      <c r="M2" s="5">
        <v>100</v>
      </c>
      <c r="N2" s="10">
        <f>ADVPMAG[[#This Row],[SR Comp 1]]+ADVPMAG[[#This Row],[SR Comp 2]]</f>
        <v>200</v>
      </c>
      <c r="O2" s="6">
        <f>RANK(ADVPMAG[[#This Row],[SR League Total]],ADVPMAG[SR League Total], 0)</f>
        <v>1</v>
      </c>
      <c r="P2" s="5">
        <v>95.260663507109001</v>
      </c>
      <c r="Q2" s="5">
        <v>89.387755102040828</v>
      </c>
      <c r="R2" s="10">
        <f>ADVPMAG[[#This Row],[VT Comp 1]]+ADVPMAG[[#This Row],[VT Comp 2]]</f>
        <v>184.64841860914981</v>
      </c>
      <c r="S2" s="6">
        <f>RANK(ADVPMAG[[#This Row],[VT League Total]],ADVPMAG[VT League Total], 0)</f>
        <v>4</v>
      </c>
      <c r="T2" s="5">
        <v>90.625</v>
      </c>
      <c r="U2" s="5">
        <v>86.956521739130437</v>
      </c>
      <c r="V2" s="10">
        <f>ADVPMAG[[#This Row],[PB Comp 1]]+ADVPMAG[[#This Row],[PB Comp 2]]</f>
        <v>177.58152173913044</v>
      </c>
      <c r="W2" s="6">
        <f>RANK(ADVPMAG[[#This Row],[PB League Total]],ADVPMAG[PB League Total], 0)</f>
        <v>1</v>
      </c>
      <c r="X2" s="5">
        <v>0</v>
      </c>
      <c r="Y2" s="5">
        <v>0</v>
      </c>
      <c r="Z2" s="10">
        <f>ADVPMAG[[#This Row],[HB Comp 1]]+ADVPMAG[[#This Row],[HB Comp 2]]</f>
        <v>0</v>
      </c>
      <c r="AA2" s="6">
        <f>RANK(ADVPMAG[[#This Row],[HB League Total]],ADVPMAG[HB League Total], 0)</f>
        <v>4</v>
      </c>
      <c r="AB2" s="5">
        <v>100</v>
      </c>
      <c r="AC2" s="4">
        <v>95.679567956795694</v>
      </c>
      <c r="AD2" s="10">
        <f>ADVPMAG[[#This Row],[AA Comp 1]]+ADVPMAG[[#This Row],[AA Comp 2]]</f>
        <v>195.67956795679569</v>
      </c>
      <c r="AE2" s="6">
        <f>RANK(ADVPMAG[[#This Row],[AA League Total]],ADVPMAG[AA League Total], 0)</f>
        <v>1</v>
      </c>
    </row>
    <row r="3" spans="1:31" x14ac:dyDescent="0.2">
      <c r="A3"/>
      <c r="B3" s="9" t="s">
        <v>42</v>
      </c>
      <c r="C3" s="9" t="s">
        <v>60</v>
      </c>
      <c r="D3" s="5">
        <v>92.857142857142861</v>
      </c>
      <c r="E3" s="5">
        <v>94.308943089430883</v>
      </c>
      <c r="F3" s="10">
        <f>ADVPMAG[[#This Row],[FX Comp 1]]+ADVPMAG[[#This Row],[FX Comp 2]]</f>
        <v>187.16608594657373</v>
      </c>
      <c r="G3" s="6">
        <f>RANK(ADVPMAG[[#This Row],[FX League Total]],ADVPMAG[FX League Total], 0)</f>
        <v>4</v>
      </c>
      <c r="H3" s="5">
        <v>100</v>
      </c>
      <c r="I3" s="5">
        <v>90.291262135922338</v>
      </c>
      <c r="J3" s="10">
        <f>ADVPMAG[[#This Row],[PH Comp 1]]+ADVPMAG[[#This Row],[PH Comp 2]]</f>
        <v>190.29126213592235</v>
      </c>
      <c r="K3" s="6">
        <f>RANK(ADVPMAG[[#This Row],[PH  League Total]],ADVPMAG[PH  League Total], 0)</f>
        <v>1</v>
      </c>
      <c r="L3" s="5">
        <v>91.452991452991455</v>
      </c>
      <c r="M3" s="5">
        <v>99.107142857142861</v>
      </c>
      <c r="N3" s="10">
        <f>ADVPMAG[[#This Row],[SR Comp 1]]+ADVPMAG[[#This Row],[SR Comp 2]]</f>
        <v>190.56013431013432</v>
      </c>
      <c r="O3" s="6">
        <f>RANK(ADVPMAG[[#This Row],[SR League Total]],ADVPMAG[SR League Total], 0)</f>
        <v>2</v>
      </c>
      <c r="P3" s="5">
        <v>97.156398104265392</v>
      </c>
      <c r="Q3" s="5">
        <v>97.551020408163268</v>
      </c>
      <c r="R3" s="10">
        <f>ADVPMAG[[#This Row],[VT Comp 1]]+ADVPMAG[[#This Row],[VT Comp 2]]</f>
        <v>194.70741851242866</v>
      </c>
      <c r="S3" s="6">
        <f>RANK(ADVPMAG[[#This Row],[VT League Total]],ADVPMAG[VT League Total], 0)</f>
        <v>1</v>
      </c>
      <c r="T3" s="5">
        <v>13.541666666666668</v>
      </c>
      <c r="U3" s="5">
        <v>100</v>
      </c>
      <c r="V3" s="10">
        <f>ADVPMAG[[#This Row],[PB Comp 1]]+ADVPMAG[[#This Row],[PB Comp 2]]</f>
        <v>113.54166666666667</v>
      </c>
      <c r="W3" s="6">
        <f>RANK(ADVPMAG[[#This Row],[PB League Total]],ADVPMAG[PB League Total], 0)</f>
        <v>3</v>
      </c>
      <c r="X3" s="5">
        <v>0</v>
      </c>
      <c r="Y3" s="5">
        <v>0</v>
      </c>
      <c r="Z3" s="10">
        <f>ADVPMAG[[#This Row],[HB Comp 1]]+ADVPMAG[[#This Row],[HB Comp 2]]</f>
        <v>0</v>
      </c>
      <c r="AA3" s="6">
        <f>RANK(ADVPMAG[[#This Row],[HB League Total]],ADVPMAG[HB League Total], 0)</f>
        <v>4</v>
      </c>
      <c r="AB3" s="5">
        <v>85.160038797284173</v>
      </c>
      <c r="AC3" s="4">
        <v>99.819981998199822</v>
      </c>
      <c r="AD3" s="10">
        <f>ADVPMAG[[#This Row],[AA Comp 1]]+ADVPMAG[[#This Row],[AA Comp 2]]</f>
        <v>184.98002079548399</v>
      </c>
      <c r="AE3" s="6">
        <f>RANK(ADVPMAG[[#This Row],[AA League Total]],ADVPMAG[AA League Total], 0)</f>
        <v>2</v>
      </c>
    </row>
    <row r="4" spans="1:31" x14ac:dyDescent="0.2">
      <c r="A4"/>
      <c r="B4" s="9" t="s">
        <v>42</v>
      </c>
      <c r="C4" s="9" t="s">
        <v>61</v>
      </c>
      <c r="D4" s="5">
        <v>94.957983193277315</v>
      </c>
      <c r="E4" s="5">
        <v>93.495934959349597</v>
      </c>
      <c r="F4" s="10">
        <f>ADVPMAG[[#This Row],[FX Comp 1]]+ADVPMAG[[#This Row],[FX Comp 2]]</f>
        <v>188.4539181526269</v>
      </c>
      <c r="G4" s="6">
        <f>RANK(ADVPMAG[[#This Row],[FX League Total]],ADVPMAG[FX League Total], 0)</f>
        <v>2</v>
      </c>
      <c r="H4" s="5">
        <v>0</v>
      </c>
      <c r="I4" s="5">
        <v>0</v>
      </c>
      <c r="J4" s="10">
        <f>ADVPMAG[[#This Row],[PH Comp 1]]+ADVPMAG[[#This Row],[PH Comp 2]]</f>
        <v>0</v>
      </c>
      <c r="K4" s="6">
        <f>RANK(ADVPMAG[[#This Row],[PH  League Total]],ADVPMAG[PH  League Total], 0)</f>
        <v>6</v>
      </c>
      <c r="L4" s="5">
        <v>92.73504273504274</v>
      </c>
      <c r="M4" s="5">
        <v>97.767857142857167</v>
      </c>
      <c r="N4" s="10">
        <f>ADVPMAG[[#This Row],[SR Comp 1]]+ADVPMAG[[#This Row],[SR Comp 2]]</f>
        <v>190.50289987789989</v>
      </c>
      <c r="O4" s="6">
        <f>RANK(ADVPMAG[[#This Row],[SR League Total]],ADVPMAG[SR League Total], 0)</f>
        <v>3</v>
      </c>
      <c r="P4" s="5">
        <v>93.838862559241704</v>
      </c>
      <c r="Q4" s="5">
        <v>85.306122448979579</v>
      </c>
      <c r="R4" s="10">
        <f>ADVPMAG[[#This Row],[VT Comp 1]]+ADVPMAG[[#This Row],[VT Comp 2]]</f>
        <v>179.14498500822128</v>
      </c>
      <c r="S4" s="6">
        <f>RANK(ADVPMAG[[#This Row],[VT League Total]],ADVPMAG[VT League Total], 0)</f>
        <v>5</v>
      </c>
      <c r="T4" s="5">
        <v>100</v>
      </c>
      <c r="U4" s="5">
        <v>67.826086956521721</v>
      </c>
      <c r="V4" s="10">
        <f>ADVPMAG[[#This Row],[PB Comp 1]]+ADVPMAG[[#This Row],[PB Comp 2]]</f>
        <v>167.82608695652172</v>
      </c>
      <c r="W4" s="6">
        <f>RANK(ADVPMAG[[#This Row],[PB League Total]],ADVPMAG[PB League Total], 0)</f>
        <v>2</v>
      </c>
      <c r="X4" s="5">
        <v>0</v>
      </c>
      <c r="Y4" s="5">
        <v>43.137254901960794</v>
      </c>
      <c r="Z4" s="10">
        <f>ADVPMAG[[#This Row],[HB Comp 1]]+ADVPMAG[[#This Row],[HB Comp 2]]</f>
        <v>43.137254901960794</v>
      </c>
      <c r="AA4" s="6">
        <f>RANK(ADVPMAG[[#This Row],[HB League Total]],ADVPMAG[HB League Total], 0)</f>
        <v>3</v>
      </c>
      <c r="AB4" s="5">
        <v>80.79534432589719</v>
      </c>
      <c r="AC4" s="4">
        <v>81.188118811881196</v>
      </c>
      <c r="AD4" s="10">
        <f>ADVPMAG[[#This Row],[AA Comp 1]]+ADVPMAG[[#This Row],[AA Comp 2]]</f>
        <v>161.98346313777839</v>
      </c>
      <c r="AE4" s="6">
        <f>RANK(ADVPMAG[[#This Row],[AA League Total]],ADVPMAG[AA League Total], 0)</f>
        <v>3</v>
      </c>
    </row>
    <row r="5" spans="1:31" x14ac:dyDescent="0.2">
      <c r="A5"/>
      <c r="B5" s="7" t="s">
        <v>50</v>
      </c>
      <c r="C5" t="s">
        <v>54</v>
      </c>
      <c r="D5" s="5">
        <v>100</v>
      </c>
      <c r="E5" s="5">
        <v>100</v>
      </c>
      <c r="F5" s="10">
        <f>ADVPMAG[[#This Row],[FX Comp 1]]+ADVPMAG[[#This Row],[FX Comp 2]]</f>
        <v>200</v>
      </c>
      <c r="G5" s="6">
        <f>RANK(ADVPMAG[[#This Row],[FX League Total]],ADVPMAG[FX League Total], 0)</f>
        <v>1</v>
      </c>
      <c r="H5" s="5">
        <v>89.622641509433961</v>
      </c>
      <c r="I5" s="5">
        <v>95.145631067961162</v>
      </c>
      <c r="J5" s="10">
        <f>ADVPMAG[[#This Row],[PH Comp 1]]+ADVPMAG[[#This Row],[PH Comp 2]]</f>
        <v>184.76827257739512</v>
      </c>
      <c r="K5" s="6">
        <f>RANK(ADVPMAG[[#This Row],[PH  League Total]],ADVPMAG[PH  League Total], 0)</f>
        <v>3</v>
      </c>
      <c r="L5" s="5">
        <v>0</v>
      </c>
      <c r="M5" s="5">
        <v>96.428571428571445</v>
      </c>
      <c r="N5" s="10">
        <f>ADVPMAG[[#This Row],[SR Comp 1]]+ADVPMAG[[#This Row],[SR Comp 2]]</f>
        <v>96.428571428571445</v>
      </c>
      <c r="O5" s="6">
        <f>RANK(ADVPMAG[[#This Row],[SR League Total]],ADVPMAG[SR League Total], 0)</f>
        <v>6</v>
      </c>
      <c r="P5" s="5">
        <v>100</v>
      </c>
      <c r="Q5" s="5">
        <v>89.795918367346943</v>
      </c>
      <c r="R5" s="10">
        <f>ADVPMAG[[#This Row],[VT Comp 1]]+ADVPMAG[[#This Row],[VT Comp 2]]</f>
        <v>189.79591836734693</v>
      </c>
      <c r="S5" s="6">
        <f>RANK(ADVPMAG[[#This Row],[VT League Total]],ADVPMAG[VT League Total], 0)</f>
        <v>2</v>
      </c>
      <c r="T5" s="5">
        <v>0</v>
      </c>
      <c r="U5" s="5">
        <v>86.956521739130437</v>
      </c>
      <c r="V5" s="10">
        <f>ADVPMAG[[#This Row],[PB Comp 1]]+ADVPMAG[[#This Row],[PB Comp 2]]</f>
        <v>86.956521739130437</v>
      </c>
      <c r="W5" s="6">
        <f>RANK(ADVPMAG[[#This Row],[PB League Total]],ADVPMAG[PB League Total], 0)</f>
        <v>5</v>
      </c>
      <c r="X5" s="5">
        <v>0</v>
      </c>
      <c r="Y5" s="5">
        <v>0</v>
      </c>
      <c r="Z5" s="10">
        <f>ADVPMAG[[#This Row],[HB Comp 1]]+ADVPMAG[[#This Row],[HB Comp 2]]</f>
        <v>0</v>
      </c>
      <c r="AA5" s="6">
        <f>RANK(ADVPMAG[[#This Row],[HB League Total]],ADVPMAG[HB League Total], 0)</f>
        <v>4</v>
      </c>
      <c r="AB5" s="5">
        <v>61.978661493695441</v>
      </c>
      <c r="AC5" s="4">
        <v>97.029702970297052</v>
      </c>
      <c r="AD5" s="10">
        <f>ADVPMAG[[#This Row],[AA Comp 1]]+ADVPMAG[[#This Row],[AA Comp 2]]</f>
        <v>159.00836446399251</v>
      </c>
      <c r="AE5" s="6">
        <f>RANK(ADVPMAG[[#This Row],[AA League Total]],ADVPMAG[AA League Total], 0)</f>
        <v>4</v>
      </c>
    </row>
    <row r="6" spans="1:31" x14ac:dyDescent="0.2">
      <c r="A6"/>
      <c r="B6" t="s">
        <v>51</v>
      </c>
      <c r="C6" t="s">
        <v>57</v>
      </c>
      <c r="D6" s="5">
        <v>90.756302521008408</v>
      </c>
      <c r="E6" s="5">
        <v>93.495934959349597</v>
      </c>
      <c r="F6" s="10">
        <f>ADVPMAG[[#This Row],[FX Comp 1]]+ADVPMAG[[#This Row],[FX Comp 2]]</f>
        <v>184.25223748035802</v>
      </c>
      <c r="G6" s="6">
        <f>RANK(ADVPMAG[[#This Row],[FX League Total]],ADVPMAG[FX League Total], 0)</f>
        <v>5</v>
      </c>
      <c r="H6" s="5">
        <v>0</v>
      </c>
      <c r="I6" s="5">
        <v>0</v>
      </c>
      <c r="J6" s="10">
        <f>ADVPMAG[[#This Row],[PH Comp 1]]+ADVPMAG[[#This Row],[PH Comp 2]]</f>
        <v>0</v>
      </c>
      <c r="K6" s="6">
        <f>RANK(ADVPMAG[[#This Row],[PH  League Total]],ADVPMAG[PH  League Total], 0)</f>
        <v>6</v>
      </c>
      <c r="L6" s="5">
        <v>84.188034188034194</v>
      </c>
      <c r="M6" s="5">
        <v>96.428571428571445</v>
      </c>
      <c r="N6" s="10">
        <f>ADVPMAG[[#This Row],[SR Comp 1]]+ADVPMAG[[#This Row],[SR Comp 2]]</f>
        <v>180.61660561660563</v>
      </c>
      <c r="O6" s="6">
        <f>RANK(ADVPMAG[[#This Row],[SR League Total]],ADVPMAG[SR League Total], 0)</f>
        <v>4</v>
      </c>
      <c r="P6" s="5">
        <v>98.578199052132703</v>
      </c>
      <c r="Q6" s="5">
        <v>86.122448979591852</v>
      </c>
      <c r="R6" s="10">
        <f>ADVPMAG[[#This Row],[VT Comp 1]]+ADVPMAG[[#This Row],[VT Comp 2]]</f>
        <v>184.70064803172454</v>
      </c>
      <c r="S6" s="6">
        <f>RANK(ADVPMAG[[#This Row],[VT League Total]],ADVPMAG[VT League Total], 0)</f>
        <v>3</v>
      </c>
      <c r="T6" s="5">
        <v>60.416666666666664</v>
      </c>
      <c r="U6" s="5">
        <v>0</v>
      </c>
      <c r="V6" s="10">
        <f>ADVPMAG[[#This Row],[PB Comp 1]]+ADVPMAG[[#This Row],[PB Comp 2]]</f>
        <v>60.416666666666664</v>
      </c>
      <c r="W6" s="6">
        <f>RANK(ADVPMAG[[#This Row],[PB League Total]],ADVPMAG[PB League Total], 0)</f>
        <v>7</v>
      </c>
      <c r="X6" s="5">
        <v>0</v>
      </c>
      <c r="Y6" s="5">
        <v>0</v>
      </c>
      <c r="Z6" s="10">
        <f>ADVPMAG[[#This Row],[HB Comp 1]]+ADVPMAG[[#This Row],[HB Comp 2]]</f>
        <v>0</v>
      </c>
      <c r="AA6" s="6">
        <f>RANK(ADVPMAG[[#This Row],[HB League Total]],ADVPMAG[HB League Total], 0)</f>
        <v>4</v>
      </c>
      <c r="AB6" s="5">
        <v>71.48399612027157</v>
      </c>
      <c r="AC6" s="4">
        <v>59.135913591359149</v>
      </c>
      <c r="AD6" s="10">
        <f>ADVPMAG[[#This Row],[AA Comp 1]]+ADVPMAG[[#This Row],[AA Comp 2]]</f>
        <v>130.61990971163073</v>
      </c>
      <c r="AE6" s="6">
        <f>RANK(ADVPMAG[[#This Row],[AA League Total]],ADVPMAG[AA League Total], 0)</f>
        <v>5</v>
      </c>
    </row>
    <row r="7" spans="1:31" x14ac:dyDescent="0.2">
      <c r="A7"/>
      <c r="B7" t="s">
        <v>235</v>
      </c>
      <c r="C7" s="19" t="s">
        <v>234</v>
      </c>
      <c r="D7" s="5"/>
      <c r="E7" s="5">
        <v>93.495934959349597</v>
      </c>
      <c r="F7" s="10">
        <f>ADVPMAG[[#This Row],[FX Comp 1]]+ADVPMAG[[#This Row],[FX Comp 2]]</f>
        <v>93.495934959349597</v>
      </c>
      <c r="G7" s="6">
        <f>RANK(ADVPMAG[[#This Row],[FX League Total]],ADVPMAG[FX League Total], 0)</f>
        <v>8</v>
      </c>
      <c r="H7" s="5"/>
      <c r="I7" s="5">
        <v>100</v>
      </c>
      <c r="J7" s="10">
        <f>ADVPMAG[[#This Row],[PH Comp 1]]+ADVPMAG[[#This Row],[PH Comp 2]]</f>
        <v>100</v>
      </c>
      <c r="K7" s="6">
        <f>RANK(ADVPMAG[[#This Row],[PH  League Total]],ADVPMAG[PH  League Total], 0)</f>
        <v>4</v>
      </c>
      <c r="L7" s="5"/>
      <c r="M7" s="5">
        <v>100</v>
      </c>
      <c r="N7" s="10">
        <f>ADVPMAG[[#This Row],[SR Comp 1]]+ADVPMAG[[#This Row],[SR Comp 2]]</f>
        <v>100</v>
      </c>
      <c r="O7" s="6">
        <f>RANK(ADVPMAG[[#This Row],[SR League Total]],ADVPMAG[SR League Total], 0)</f>
        <v>5</v>
      </c>
      <c r="P7" s="5"/>
      <c r="Q7" s="5">
        <v>100</v>
      </c>
      <c r="R7" s="10">
        <f>ADVPMAG[[#This Row],[VT Comp 1]]+ADVPMAG[[#This Row],[VT Comp 2]]</f>
        <v>100</v>
      </c>
      <c r="S7" s="6">
        <f>RANK(ADVPMAG[[#This Row],[VT League Total]],ADVPMAG[VT League Total], 0)</f>
        <v>6</v>
      </c>
      <c r="T7" s="5"/>
      <c r="U7" s="5">
        <v>89.565217391304358</v>
      </c>
      <c r="V7" s="10">
        <f>ADVPMAG[[#This Row],[PB Comp 1]]+ADVPMAG[[#This Row],[PB Comp 2]]</f>
        <v>89.565217391304358</v>
      </c>
      <c r="W7" s="6">
        <f>RANK(ADVPMAG[[#This Row],[PB League Total]],ADVPMAG[PB League Total], 0)</f>
        <v>4</v>
      </c>
      <c r="X7" s="5"/>
      <c r="Y7" s="5">
        <v>0</v>
      </c>
      <c r="Z7" s="10">
        <f>ADVPMAG[[#This Row],[HB Comp 1]]+ADVPMAG[[#This Row],[HB Comp 2]]</f>
        <v>0</v>
      </c>
      <c r="AA7" s="6">
        <f>RANK(ADVPMAG[[#This Row],[HB League Total]],ADVPMAG[HB League Total], 0)</f>
        <v>4</v>
      </c>
      <c r="AB7" s="5"/>
      <c r="AC7" s="4">
        <v>100</v>
      </c>
      <c r="AD7" s="10">
        <f>ADVPMAG[[#This Row],[AA Comp 1]]+ADVPMAG[[#This Row],[AA Comp 2]]</f>
        <v>100</v>
      </c>
      <c r="AE7" s="6">
        <f>RANK(ADVPMAG[[#This Row],[AA League Total]],ADVPMAG[AA League Total], 0)</f>
        <v>6</v>
      </c>
    </row>
    <row r="8" spans="1:31" x14ac:dyDescent="0.2">
      <c r="A8"/>
      <c r="B8" s="7" t="s">
        <v>50</v>
      </c>
      <c r="C8" t="s">
        <v>70</v>
      </c>
      <c r="D8" s="5"/>
      <c r="E8" s="5">
        <v>89.430894308943081</v>
      </c>
      <c r="F8" s="10">
        <f>ADVPMAG[[#This Row],[FX Comp 1]]+ADVPMAG[[#This Row],[FX Comp 2]]</f>
        <v>89.430894308943081</v>
      </c>
      <c r="G8" s="6">
        <f>RANK(ADVPMAG[[#This Row],[FX League Total]],ADVPMAG[FX League Total], 0)</f>
        <v>9</v>
      </c>
      <c r="H8" s="5"/>
      <c r="I8" s="5">
        <v>0</v>
      </c>
      <c r="J8" s="10">
        <f>ADVPMAG[[#This Row],[PH Comp 1]]+ADVPMAG[[#This Row],[PH Comp 2]]</f>
        <v>0</v>
      </c>
      <c r="K8" s="6">
        <f>RANK(ADVPMAG[[#This Row],[PH  League Total]],ADVPMAG[PH  League Total], 0)</f>
        <v>6</v>
      </c>
      <c r="L8" s="5"/>
      <c r="M8" s="5">
        <v>92.410714285714292</v>
      </c>
      <c r="N8" s="10">
        <f>ADVPMAG[[#This Row],[SR Comp 1]]+ADVPMAG[[#This Row],[SR Comp 2]]</f>
        <v>92.410714285714292</v>
      </c>
      <c r="O8" s="6">
        <f>RANK(ADVPMAG[[#This Row],[SR League Total]],ADVPMAG[SR League Total], 0)</f>
        <v>7</v>
      </c>
      <c r="P8" s="5"/>
      <c r="Q8" s="5">
        <v>94.693877551020407</v>
      </c>
      <c r="R8" s="10">
        <f>ADVPMAG[[#This Row],[VT Comp 1]]+ADVPMAG[[#This Row],[VT Comp 2]]</f>
        <v>94.693877551020407</v>
      </c>
      <c r="S8" s="6">
        <f>RANK(ADVPMAG[[#This Row],[VT League Total]],ADVPMAG[VT League Total], 0)</f>
        <v>8</v>
      </c>
      <c r="T8" s="5"/>
      <c r="U8" s="5">
        <v>76.521739130434781</v>
      </c>
      <c r="V8" s="10">
        <f>ADVPMAG[[#This Row],[PB Comp 1]]+ADVPMAG[[#This Row],[PB Comp 2]]</f>
        <v>76.521739130434781</v>
      </c>
      <c r="W8" s="6">
        <f>RANK(ADVPMAG[[#This Row],[PB League Total]],ADVPMAG[PB League Total], 0)</f>
        <v>6</v>
      </c>
      <c r="X8" s="5"/>
      <c r="Y8" s="5">
        <v>76.47058823529413</v>
      </c>
      <c r="Z8" s="10">
        <f>ADVPMAG[[#This Row],[HB Comp 1]]+ADVPMAG[[#This Row],[HB Comp 2]]</f>
        <v>76.47058823529413</v>
      </c>
      <c r="AA8" s="6">
        <f>RANK(ADVPMAG[[#This Row],[HB League Total]],ADVPMAG[HB League Total], 0)</f>
        <v>2</v>
      </c>
      <c r="AB8" s="5"/>
      <c r="AC8" s="4">
        <v>89.198919891989206</v>
      </c>
      <c r="AD8" s="10">
        <f>ADVPMAG[[#This Row],[AA Comp 1]]+ADVPMAG[[#This Row],[AA Comp 2]]</f>
        <v>89.198919891989206</v>
      </c>
      <c r="AE8" s="6">
        <f>RANK(ADVPMAG[[#This Row],[AA League Total]],ADVPMAG[AA League Total], 0)</f>
        <v>7</v>
      </c>
    </row>
    <row r="9" spans="1:31" x14ac:dyDescent="0.2">
      <c r="A9"/>
      <c r="B9" s="9" t="s">
        <v>52</v>
      </c>
      <c r="C9" s="19" t="s">
        <v>232</v>
      </c>
      <c r="D9" s="5"/>
      <c r="E9" s="5">
        <v>94.308943089430883</v>
      </c>
      <c r="F9" s="10">
        <f>ADVPMAG[[#This Row],[FX Comp 1]]+ADVPMAG[[#This Row],[FX Comp 2]]</f>
        <v>94.308943089430883</v>
      </c>
      <c r="G9" s="6">
        <f>RANK(ADVPMAG[[#This Row],[FX League Total]],ADVPMAG[FX League Total], 0)</f>
        <v>7</v>
      </c>
      <c r="H9" s="5"/>
      <c r="I9" s="5">
        <v>0</v>
      </c>
      <c r="J9" s="10">
        <f>ADVPMAG[[#This Row],[PH Comp 1]]+ADVPMAG[[#This Row],[PH Comp 2]]</f>
        <v>0</v>
      </c>
      <c r="K9" s="6">
        <f>RANK(ADVPMAG[[#This Row],[PH  League Total]],ADVPMAG[PH  League Total], 0)</f>
        <v>6</v>
      </c>
      <c r="L9" s="5"/>
      <c r="M9" s="5">
        <v>88.392857142857153</v>
      </c>
      <c r="N9" s="10">
        <f>ADVPMAG[[#This Row],[SR Comp 1]]+ADVPMAG[[#This Row],[SR Comp 2]]</f>
        <v>88.392857142857153</v>
      </c>
      <c r="O9" s="6">
        <f>RANK(ADVPMAG[[#This Row],[SR League Total]],ADVPMAG[SR League Total], 0)</f>
        <v>8</v>
      </c>
      <c r="P9" s="5"/>
      <c r="Q9" s="5">
        <v>0</v>
      </c>
      <c r="R9" s="10">
        <f>ADVPMAG[[#This Row],[VT Comp 1]]+ADVPMAG[[#This Row],[VT Comp 2]]</f>
        <v>0</v>
      </c>
      <c r="S9" s="6">
        <f>RANK(ADVPMAG[[#This Row],[VT League Total]],ADVPMAG[VT League Total], 0)</f>
        <v>12</v>
      </c>
      <c r="T9" s="5"/>
      <c r="U9" s="5">
        <v>0</v>
      </c>
      <c r="V9" s="10">
        <f>ADVPMAG[[#This Row],[PB Comp 1]]+ADVPMAG[[#This Row],[PB Comp 2]]</f>
        <v>0</v>
      </c>
      <c r="W9" s="6">
        <f>RANK(ADVPMAG[[#This Row],[PB League Total]],ADVPMAG[PB League Total], 0)</f>
        <v>8</v>
      </c>
      <c r="X9" s="5"/>
      <c r="Y9" s="5">
        <v>100</v>
      </c>
      <c r="Z9" s="10">
        <f>ADVPMAG[[#This Row],[HB Comp 1]]+ADVPMAG[[#This Row],[HB Comp 2]]</f>
        <v>100</v>
      </c>
      <c r="AA9" s="6">
        <f>RANK(ADVPMAG[[#This Row],[HB League Total]],ADVPMAG[HB League Total], 0)</f>
        <v>1</v>
      </c>
      <c r="AB9" s="5"/>
      <c r="AC9" s="4">
        <v>76.147614761476149</v>
      </c>
      <c r="AD9" s="10">
        <f>ADVPMAG[[#This Row],[AA Comp 1]]+ADVPMAG[[#This Row],[AA Comp 2]]</f>
        <v>76.147614761476149</v>
      </c>
      <c r="AE9" s="6">
        <f>RANK(ADVPMAG[[#This Row],[AA League Total]],ADVPMAG[AA League Total], 0)</f>
        <v>8</v>
      </c>
    </row>
    <row r="10" spans="1:31" x14ac:dyDescent="0.2">
      <c r="A10"/>
      <c r="B10" s="9" t="s">
        <v>53</v>
      </c>
      <c r="C10" s="9" t="s">
        <v>59</v>
      </c>
      <c r="D10" s="5">
        <v>84.87394957983193</v>
      </c>
      <c r="E10" s="5"/>
      <c r="F10" s="10">
        <f>ADVPMAG[[#This Row],[FX Comp 1]]+ADVPMAG[[#This Row],[FX Comp 2]]</f>
        <v>84.87394957983193</v>
      </c>
      <c r="G10" s="6">
        <f>RANK(ADVPMAG[[#This Row],[FX League Total]],ADVPMAG[FX League Total], 0)</f>
        <v>10</v>
      </c>
      <c r="H10" s="5">
        <v>12.264150943396228</v>
      </c>
      <c r="I10" s="5"/>
      <c r="J10" s="10">
        <f>ADVPMAG[[#This Row],[PH Comp 1]]+ADVPMAG[[#This Row],[PH Comp 2]]</f>
        <v>12.264150943396228</v>
      </c>
      <c r="K10" s="6">
        <f>RANK(ADVPMAG[[#This Row],[PH  League Total]],ADVPMAG[PH  League Total], 0)</f>
        <v>5</v>
      </c>
      <c r="L10" s="5">
        <v>85.897435897435912</v>
      </c>
      <c r="M10" s="5"/>
      <c r="N10" s="10">
        <f>ADVPMAG[[#This Row],[SR Comp 1]]+ADVPMAG[[#This Row],[SR Comp 2]]</f>
        <v>85.897435897435912</v>
      </c>
      <c r="O10" s="6">
        <f>RANK(ADVPMAG[[#This Row],[SR League Total]],ADVPMAG[SR League Total], 0)</f>
        <v>9</v>
      </c>
      <c r="P10" s="5">
        <v>97.156398104265392</v>
      </c>
      <c r="Q10" s="5"/>
      <c r="R10" s="10">
        <f>ADVPMAG[[#This Row],[VT Comp 1]]+ADVPMAG[[#This Row],[VT Comp 2]]</f>
        <v>97.156398104265392</v>
      </c>
      <c r="S10" s="6">
        <f>RANK(ADVPMAG[[#This Row],[VT League Total]],ADVPMAG[VT League Total], 0)</f>
        <v>7</v>
      </c>
      <c r="T10" s="5">
        <v>0</v>
      </c>
      <c r="U10" s="5"/>
      <c r="V10" s="10">
        <f>ADVPMAG[[#This Row],[PB Comp 1]]+ADVPMAG[[#This Row],[PB Comp 2]]</f>
        <v>0</v>
      </c>
      <c r="W10" s="6">
        <f>RANK(ADVPMAG[[#This Row],[PB League Total]],ADVPMAG[PB League Total], 0)</f>
        <v>8</v>
      </c>
      <c r="X10" s="5">
        <v>0</v>
      </c>
      <c r="Y10" s="5"/>
      <c r="Z10" s="10">
        <f>ADVPMAG[[#This Row],[HB Comp 1]]+ADVPMAG[[#This Row],[HB Comp 2]]</f>
        <v>0</v>
      </c>
      <c r="AA10" s="6">
        <f>RANK(ADVPMAG[[#This Row],[HB League Total]],ADVPMAG[HB League Total], 0)</f>
        <v>4</v>
      </c>
      <c r="AB10" s="5">
        <v>61.493695441319119</v>
      </c>
      <c r="AD10" s="10">
        <f>ADVPMAG[[#This Row],[AA Comp 1]]+ADVPMAG[[#This Row],[AA Comp 2]]</f>
        <v>61.493695441319119</v>
      </c>
      <c r="AE10" s="6">
        <f>RANK(ADVPMAG[[#This Row],[AA League Total]],ADVPMAG[AA League Total], 0)</f>
        <v>9</v>
      </c>
    </row>
    <row r="11" spans="1:31" x14ac:dyDescent="0.2">
      <c r="B11" s="22" t="s">
        <v>79</v>
      </c>
      <c r="C11" t="s">
        <v>233</v>
      </c>
      <c r="E11" s="4">
        <v>95.934959349593484</v>
      </c>
      <c r="F11" s="6">
        <f>ADVPMAG[[#This Row],[FX Comp 1]]+ADVPMAG[[#This Row],[FX Comp 2]]</f>
        <v>95.934959349593484</v>
      </c>
      <c r="G11" s="6">
        <f>RANK(ADVPMAG[[#This Row],[FX League Total]],ADVPMAG[FX League Total], 0)</f>
        <v>6</v>
      </c>
      <c r="I11" s="4">
        <v>0</v>
      </c>
      <c r="J11" s="6">
        <f>ADVPMAG[[#This Row],[PH Comp 1]]+ADVPMAG[[#This Row],[PH Comp 2]]</f>
        <v>0</v>
      </c>
      <c r="K11" s="6">
        <f>RANK(ADVPMAG[[#This Row],[PH  League Total]],ADVPMAG[PH  League Total], 0)</f>
        <v>6</v>
      </c>
      <c r="M11" s="4">
        <v>0</v>
      </c>
      <c r="N11" s="6">
        <f>ADVPMAG[[#This Row],[SR Comp 1]]+ADVPMAG[[#This Row],[SR Comp 2]]</f>
        <v>0</v>
      </c>
      <c r="O11" s="6">
        <f>RANK(ADVPMAG[[#This Row],[SR League Total]],ADVPMAG[SR League Total], 0)</f>
        <v>10</v>
      </c>
      <c r="Q11" s="4">
        <v>87.346938775510196</v>
      </c>
      <c r="R11" s="6">
        <f>ADVPMAG[[#This Row],[VT Comp 1]]+ADVPMAG[[#This Row],[VT Comp 2]]</f>
        <v>87.346938775510196</v>
      </c>
      <c r="S11" s="6">
        <f>RANK(ADVPMAG[[#This Row],[VT League Total]],ADVPMAG[VT League Total], 0)</f>
        <v>10</v>
      </c>
      <c r="U11" s="4">
        <v>0</v>
      </c>
      <c r="V11" s="6">
        <f>ADVPMAG[[#This Row],[PB Comp 1]]+ADVPMAG[[#This Row],[PB Comp 2]]</f>
        <v>0</v>
      </c>
      <c r="W11" s="6">
        <f>RANK(ADVPMAG[[#This Row],[PB League Total]],ADVPMAG[PB League Total], 0)</f>
        <v>8</v>
      </c>
      <c r="Y11" s="4">
        <v>0</v>
      </c>
      <c r="Z11" s="6">
        <f>ADVPMAG[[#This Row],[HB Comp 1]]+ADVPMAG[[#This Row],[HB Comp 2]]</f>
        <v>0</v>
      </c>
      <c r="AA11" s="6">
        <f>RANK(ADVPMAG[[#This Row],[HB League Total]],ADVPMAG[HB League Total], 0)</f>
        <v>4</v>
      </c>
      <c r="AC11" s="4">
        <v>40.504050405040502</v>
      </c>
      <c r="AD11" s="6">
        <f>ADVPMAG[[#This Row],[AA Comp 1]]+ADVPMAG[[#This Row],[AA Comp 2]]</f>
        <v>40.504050405040502</v>
      </c>
      <c r="AE11" s="6">
        <f>RANK(ADVPMAG[[#This Row],[AA League Total]],ADVPMAG[AA League Total], 0)</f>
        <v>10</v>
      </c>
    </row>
    <row r="12" spans="1:31" x14ac:dyDescent="0.2">
      <c r="A12"/>
      <c r="B12" t="s">
        <v>51</v>
      </c>
      <c r="C12" t="s">
        <v>56</v>
      </c>
      <c r="D12" s="4">
        <v>0</v>
      </c>
      <c r="E12" s="5">
        <v>82.520325203252014</v>
      </c>
      <c r="F12" s="10">
        <f>ADVPMAG[[#This Row],[FX Comp 1]]+ADVPMAG[[#This Row],[FX Comp 2]]</f>
        <v>82.520325203252014</v>
      </c>
      <c r="G12" s="6">
        <f>RANK(ADVPMAG[[#This Row],[FX League Total]],ADVPMAG[FX League Total], 0)</f>
        <v>11</v>
      </c>
      <c r="H12" s="5">
        <v>0</v>
      </c>
      <c r="I12" s="5">
        <v>0</v>
      </c>
      <c r="J12" s="10">
        <f>ADVPMAG[[#This Row],[PH Comp 1]]+ADVPMAG[[#This Row],[PH Comp 2]]</f>
        <v>0</v>
      </c>
      <c r="K12" s="6">
        <f>RANK(ADVPMAG[[#This Row],[PH  League Total]],ADVPMAG[PH  League Total], 0)</f>
        <v>6</v>
      </c>
      <c r="L12" s="5">
        <v>0</v>
      </c>
      <c r="M12" s="5">
        <v>0</v>
      </c>
      <c r="N12" s="10">
        <f>ADVPMAG[[#This Row],[SR Comp 1]]+ADVPMAG[[#This Row],[SR Comp 2]]</f>
        <v>0</v>
      </c>
      <c r="O12" s="6">
        <f>RANK(ADVPMAG[[#This Row],[SR League Total]],ADVPMAG[SR League Total], 0)</f>
        <v>10</v>
      </c>
      <c r="P12" s="5">
        <v>0</v>
      </c>
      <c r="Q12" s="5">
        <v>86.938775510204081</v>
      </c>
      <c r="R12" s="10">
        <f>ADVPMAG[[#This Row],[VT Comp 1]]+ADVPMAG[[#This Row],[VT Comp 2]]</f>
        <v>86.938775510204081</v>
      </c>
      <c r="S12" s="6">
        <f>RANK(ADVPMAG[[#This Row],[VT League Total]],ADVPMAG[VT League Total], 0)</f>
        <v>11</v>
      </c>
      <c r="T12" s="5">
        <v>0</v>
      </c>
      <c r="U12" s="5">
        <v>0</v>
      </c>
      <c r="V12" s="10">
        <f>ADVPMAG[[#This Row],[PB Comp 1]]+ADVPMAG[[#This Row],[PB Comp 2]]</f>
        <v>0</v>
      </c>
      <c r="W12" s="6">
        <f>RANK(ADVPMAG[[#This Row],[PB League Total]],ADVPMAG[PB League Total], 0)</f>
        <v>8</v>
      </c>
      <c r="X12" s="5">
        <v>0</v>
      </c>
      <c r="Y12" s="5">
        <v>0</v>
      </c>
      <c r="Z12" s="10">
        <f>ADVPMAG[[#This Row],[HB Comp 1]]+ADVPMAG[[#This Row],[HB Comp 2]]</f>
        <v>0</v>
      </c>
      <c r="AA12" s="6">
        <f>RANK(ADVPMAG[[#This Row],[HB League Total]],ADVPMAG[HB League Total], 0)</f>
        <v>4</v>
      </c>
      <c r="AB12" s="5">
        <v>0</v>
      </c>
      <c r="AC12" s="5">
        <v>37.443744374437443</v>
      </c>
      <c r="AD12" s="10">
        <f>ADVPMAG[[#This Row],[AA Comp 1]]+ADVPMAG[[#This Row],[AA Comp 2]]</f>
        <v>37.443744374437443</v>
      </c>
      <c r="AE12" s="6">
        <f>RANK(ADVPMAG[[#This Row],[AA League Total]],ADVPMAG[AA League Total], 0)</f>
        <v>11</v>
      </c>
    </row>
    <row r="13" spans="1:31" x14ac:dyDescent="0.2">
      <c r="A13"/>
      <c r="B13" t="s">
        <v>51</v>
      </c>
      <c r="C13" t="s">
        <v>55</v>
      </c>
      <c r="D13" s="5">
        <v>74.789915966386559</v>
      </c>
      <c r="E13" s="5"/>
      <c r="F13" s="10">
        <f>ADVPMAG[[#This Row],[FX Comp 1]]+ADVPMAG[[#This Row],[FX Comp 2]]</f>
        <v>74.789915966386559</v>
      </c>
      <c r="G13" s="6">
        <f>RANK(ADVPMAG[[#This Row],[FX League Total]],ADVPMAG[FX League Total], 0)</f>
        <v>12</v>
      </c>
      <c r="H13" s="5">
        <v>0</v>
      </c>
      <c r="I13" s="5"/>
      <c r="J13" s="10">
        <f>ADVPMAG[[#This Row],[PH Comp 1]]+ADVPMAG[[#This Row],[PH Comp 2]]</f>
        <v>0</v>
      </c>
      <c r="K13" s="6">
        <f>RANK(ADVPMAG[[#This Row],[PH  League Total]],ADVPMAG[PH  League Total], 0)</f>
        <v>6</v>
      </c>
      <c r="L13" s="5">
        <v>0</v>
      </c>
      <c r="M13" s="5"/>
      <c r="N13" s="10">
        <f>ADVPMAG[[#This Row],[SR Comp 1]]+ADVPMAG[[#This Row],[SR Comp 2]]</f>
        <v>0</v>
      </c>
      <c r="O13" s="6">
        <f>RANK(ADVPMAG[[#This Row],[SR League Total]],ADVPMAG[SR League Total], 0)</f>
        <v>10</v>
      </c>
      <c r="P13" s="5">
        <v>94.312796208530784</v>
      </c>
      <c r="Q13" s="5"/>
      <c r="R13" s="10">
        <f>ADVPMAG[[#This Row],[VT Comp 1]]+ADVPMAG[[#This Row],[VT Comp 2]]</f>
        <v>94.312796208530784</v>
      </c>
      <c r="S13" s="6">
        <f>RANK(ADVPMAG[[#This Row],[VT League Total]],ADVPMAG[VT League Total], 0)</f>
        <v>9</v>
      </c>
      <c r="T13" s="5">
        <v>0</v>
      </c>
      <c r="U13" s="5"/>
      <c r="V13" s="10">
        <f>ADVPMAG[[#This Row],[PB Comp 1]]+ADVPMAG[[#This Row],[PB Comp 2]]</f>
        <v>0</v>
      </c>
      <c r="W13" s="6">
        <f>RANK(ADVPMAG[[#This Row],[PB League Total]],ADVPMAG[PB League Total], 0)</f>
        <v>8</v>
      </c>
      <c r="X13" s="5">
        <v>0</v>
      </c>
      <c r="Y13" s="5"/>
      <c r="Z13" s="10">
        <f>ADVPMAG[[#This Row],[HB Comp 1]]+ADVPMAG[[#This Row],[HB Comp 2]]</f>
        <v>0</v>
      </c>
      <c r="AA13" s="6">
        <f>RANK(ADVPMAG[[#This Row],[HB League Total]],ADVPMAG[HB League Total], 0)</f>
        <v>4</v>
      </c>
      <c r="AB13" s="5">
        <v>36.566440349175558</v>
      </c>
      <c r="AD13" s="10">
        <f>ADVPMAG[[#This Row],[AA Comp 1]]+ADVPMAG[[#This Row],[AA Comp 2]]</f>
        <v>36.566440349175558</v>
      </c>
      <c r="AE13" s="6">
        <f>RANK(ADVPMAG[[#This Row],[AA League Total]],ADVPMAG[AA League Total], 0)</f>
        <v>12</v>
      </c>
    </row>
    <row r="14" spans="1:31" x14ac:dyDescent="0.2">
      <c r="A14"/>
      <c r="B14" s="9" t="s">
        <v>42</v>
      </c>
      <c r="C14" s="11" t="s">
        <v>62</v>
      </c>
      <c r="D14" s="5">
        <v>0</v>
      </c>
      <c r="E14" s="5"/>
      <c r="F14" s="10">
        <f>ADVPMAG[[#This Row],[FX Comp 1]]+ADVPMAG[[#This Row],[FX Comp 2]]</f>
        <v>0</v>
      </c>
      <c r="G14" s="6">
        <f>RANK(ADVPMAG[[#This Row],[FX League Total]],ADVPMAG[FX League Total], 0)</f>
        <v>13</v>
      </c>
      <c r="H14" s="5">
        <v>0</v>
      </c>
      <c r="I14" s="5"/>
      <c r="J14" s="10">
        <f>ADVPMAG[[#This Row],[PH Comp 1]]+ADVPMAG[[#This Row],[PH Comp 2]]</f>
        <v>0</v>
      </c>
      <c r="K14" s="6">
        <f>RANK(ADVPMAG[[#This Row],[PH  League Total]],ADVPMAG[PH  League Total], 0)</f>
        <v>6</v>
      </c>
      <c r="L14" s="5">
        <v>0</v>
      </c>
      <c r="M14" s="5"/>
      <c r="N14" s="10">
        <f>ADVPMAG[[#This Row],[SR Comp 1]]+ADVPMAG[[#This Row],[SR Comp 2]]</f>
        <v>0</v>
      </c>
      <c r="O14" s="6">
        <f>RANK(ADVPMAG[[#This Row],[SR League Total]],ADVPMAG[SR League Total], 0)</f>
        <v>10</v>
      </c>
      <c r="P14" s="5">
        <v>0</v>
      </c>
      <c r="Q14" s="5"/>
      <c r="R14" s="10">
        <f>ADVPMAG[[#This Row],[VT Comp 1]]+ADVPMAG[[#This Row],[VT Comp 2]]</f>
        <v>0</v>
      </c>
      <c r="S14" s="6">
        <f>RANK(ADVPMAG[[#This Row],[VT League Total]],ADVPMAG[VT League Total], 0)</f>
        <v>12</v>
      </c>
      <c r="T14" s="5">
        <v>0</v>
      </c>
      <c r="U14" s="5"/>
      <c r="V14" s="10">
        <f>ADVPMAG[[#This Row],[PB Comp 1]]+ADVPMAG[[#This Row],[PB Comp 2]]</f>
        <v>0</v>
      </c>
      <c r="W14" s="6">
        <f>RANK(ADVPMAG[[#This Row],[PB League Total]],ADVPMAG[PB League Total], 0)</f>
        <v>8</v>
      </c>
      <c r="X14" s="5">
        <v>0</v>
      </c>
      <c r="Y14" s="5"/>
      <c r="Z14" s="10">
        <f>ADVPMAG[[#This Row],[HB Comp 1]]+ADVPMAG[[#This Row],[HB Comp 2]]</f>
        <v>0</v>
      </c>
      <c r="AA14" s="6">
        <f>RANK(ADVPMAG[[#This Row],[HB League Total]],ADVPMAG[HB League Total], 0)</f>
        <v>4</v>
      </c>
      <c r="AB14" s="5">
        <v>0</v>
      </c>
      <c r="AD14" s="10">
        <f>ADVPMAG[[#This Row],[AA Comp 1]]+ADVPMAG[[#This Row],[AA Comp 2]]</f>
        <v>0</v>
      </c>
      <c r="AE14" s="6">
        <f>RANK(ADVPMAG[[#This Row],[AA League Total]],ADVPMAG[AA League Total], 0)</f>
        <v>13</v>
      </c>
    </row>
    <row r="15" spans="1:3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</row>
    <row r="16" spans="1:3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spans="1:3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</sheetData>
  <conditionalFormatting sqref="G2:G14 K2:K14 O2:O14 S2:S14 W2:W14 AA2:AA14 AE2:AE14 G19:G1048576">
    <cfRule type="cellIs" dxfId="62" priority="25" operator="equal">
      <formula>3</formula>
    </cfRule>
    <cfRule type="cellIs" dxfId="61" priority="26" operator="equal">
      <formula>2</formula>
    </cfRule>
    <cfRule type="cellIs" dxfId="60" priority="27" operator="equal">
      <formula>1</formula>
    </cfRule>
  </conditionalFormatting>
  <conditionalFormatting sqref="K19:K1048576">
    <cfRule type="cellIs" dxfId="59" priority="22" operator="equal">
      <formula>3</formula>
    </cfRule>
    <cfRule type="cellIs" dxfId="58" priority="23" operator="equal">
      <formula>2</formula>
    </cfRule>
    <cfRule type="cellIs" dxfId="57" priority="24" operator="equal">
      <formula>1</formula>
    </cfRule>
  </conditionalFormatting>
  <conditionalFormatting sqref="O19:O1048576">
    <cfRule type="cellIs" dxfId="56" priority="19" operator="equal">
      <formula>3</formula>
    </cfRule>
    <cfRule type="cellIs" dxfId="55" priority="20" operator="equal">
      <formula>2</formula>
    </cfRule>
    <cfRule type="cellIs" dxfId="54" priority="21" operator="equal">
      <formula>1</formula>
    </cfRule>
  </conditionalFormatting>
  <conditionalFormatting sqref="S19:S1048576">
    <cfRule type="cellIs" dxfId="53" priority="7" operator="equal">
      <formula>3</formula>
    </cfRule>
    <cfRule type="cellIs" dxfId="52" priority="8" operator="equal">
      <formula>2</formula>
    </cfRule>
    <cfRule type="cellIs" dxfId="51" priority="9" operator="equal">
      <formula>1</formula>
    </cfRule>
  </conditionalFormatting>
  <conditionalFormatting sqref="W19:W1048576">
    <cfRule type="cellIs" dxfId="50" priority="1" operator="equal">
      <formula>3</formula>
    </cfRule>
    <cfRule type="cellIs" dxfId="49" priority="2" operator="equal">
      <formula>2</formula>
    </cfRule>
    <cfRule type="cellIs" dxfId="48" priority="3" operator="equal">
      <formula>1</formula>
    </cfRule>
  </conditionalFormatting>
  <conditionalFormatting sqref="AA19:AA1048576">
    <cfRule type="cellIs" dxfId="47" priority="16" operator="equal">
      <formula>3</formula>
    </cfRule>
    <cfRule type="cellIs" dxfId="46" priority="17" operator="equal">
      <formula>2</formula>
    </cfRule>
    <cfRule type="cellIs" dxfId="45" priority="18" operator="equal">
      <formula>1</formula>
    </cfRule>
  </conditionalFormatting>
  <conditionalFormatting sqref="AE19:AE1048576">
    <cfRule type="cellIs" dxfId="44" priority="13" operator="equal">
      <formula>3</formula>
    </cfRule>
    <cfRule type="cellIs" dxfId="43" priority="14" operator="equal">
      <formula>2</formula>
    </cfRule>
    <cfRule type="cellIs" dxfId="42" priority="15" operator="equal">
      <formula>1</formula>
    </cfRule>
  </conditionalFormatting>
  <pageMargins left="0.7" right="0.7" top="0.75" bottom="0.75" header="0.3" footer="0.3"/>
  <pageSetup paperSize="8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928B3-23A5-1840-A4B2-A29906BA52C6}">
  <sheetPr>
    <tabColor rgb="FF00B050"/>
  </sheetPr>
  <dimension ref="A1:AE18"/>
  <sheetViews>
    <sheetView zoomScaleNormal="85" workbookViewId="0">
      <pane xSplit="3" topLeftCell="AC1" activePane="topRight" state="frozen"/>
      <selection pane="topRight" activeCell="AE1" sqref="AE1"/>
    </sheetView>
  </sheetViews>
  <sheetFormatPr baseColWidth="10" defaultColWidth="11" defaultRowHeight="16" x14ac:dyDescent="0.2"/>
  <cols>
    <col min="1" max="1" width="8.33203125" style="4" bestFit="1" customWidth="1"/>
    <col min="2" max="2" width="23.5" style="4" customWidth="1"/>
    <col min="3" max="3" width="23.83203125" style="4" customWidth="1"/>
    <col min="4" max="4" width="13.6640625" style="4" bestFit="1" customWidth="1"/>
    <col min="5" max="16384" width="11" style="4"/>
  </cols>
  <sheetData>
    <row r="1" spans="1:31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4</v>
      </c>
      <c r="H1" s="2" t="s">
        <v>5</v>
      </c>
      <c r="I1" s="2" t="s">
        <v>6</v>
      </c>
      <c r="J1" s="3" t="s">
        <v>7</v>
      </c>
      <c r="K1" s="3" t="s">
        <v>30</v>
      </c>
      <c r="L1" s="2" t="s">
        <v>8</v>
      </c>
      <c r="M1" s="2" t="s">
        <v>9</v>
      </c>
      <c r="N1" s="3" t="s">
        <v>10</v>
      </c>
      <c r="O1" s="3" t="s">
        <v>11</v>
      </c>
      <c r="P1" s="2" t="s">
        <v>12</v>
      </c>
      <c r="Q1" s="2" t="s">
        <v>13</v>
      </c>
      <c r="R1" s="3" t="s">
        <v>14</v>
      </c>
      <c r="S1" s="3" t="s">
        <v>31</v>
      </c>
      <c r="T1" s="2" t="s">
        <v>15</v>
      </c>
      <c r="U1" s="2" t="s">
        <v>16</v>
      </c>
      <c r="V1" s="3" t="s">
        <v>17</v>
      </c>
      <c r="W1" s="3" t="s">
        <v>32</v>
      </c>
      <c r="X1" s="2" t="s">
        <v>18</v>
      </c>
      <c r="Y1" s="2" t="s">
        <v>19</v>
      </c>
      <c r="Z1" s="3" t="s">
        <v>20</v>
      </c>
      <c r="AA1" s="3" t="s">
        <v>33</v>
      </c>
      <c r="AB1" s="2" t="s">
        <v>21</v>
      </c>
      <c r="AC1" s="2" t="s">
        <v>22</v>
      </c>
      <c r="AD1" s="3" t="s">
        <v>23</v>
      </c>
      <c r="AE1" s="3" t="s">
        <v>34</v>
      </c>
    </row>
    <row r="2" spans="1:31" x14ac:dyDescent="0.2">
      <c r="A2"/>
      <c r="B2" s="12" t="s">
        <v>42</v>
      </c>
      <c r="C2" s="14" t="s">
        <v>74</v>
      </c>
      <c r="D2" s="5">
        <v>0</v>
      </c>
      <c r="E2" s="5">
        <v>0</v>
      </c>
      <c r="F2" s="10">
        <f>ADVMAG[[#This Row],[FX Comp 1]]+ADVMAG[[#This Row],[FX Comp 2]]</f>
        <v>0</v>
      </c>
      <c r="G2" s="6">
        <f>RANK(ADVMAG[[#This Row],[FX League Total]],ADVMAG[FX League Total], 0)</f>
        <v>11</v>
      </c>
      <c r="H2" s="5">
        <v>100</v>
      </c>
      <c r="I2" s="5">
        <v>100</v>
      </c>
      <c r="J2" s="10">
        <f>ADVMAG[[#This Row],[PH Comp 1]]+ADVMAG[[#This Row],[PH Comp 2]]</f>
        <v>200</v>
      </c>
      <c r="K2" s="6">
        <f>RANK(ADVMAG[[#This Row],[PH  League Total]],ADVMAG[PH  League Total], 0)</f>
        <v>1</v>
      </c>
      <c r="L2" s="5">
        <v>0</v>
      </c>
      <c r="M2" s="5">
        <v>0</v>
      </c>
      <c r="N2" s="10">
        <f>ADVMAG[[#This Row],[SR Comp 1]]+ADVMAG[[#This Row],[SR Comp 2]]</f>
        <v>0</v>
      </c>
      <c r="O2" s="6">
        <f>RANK(ADVMAG[[#This Row],[SR League Total]],ADVMAG[SR League Total], 0)</f>
        <v>10</v>
      </c>
      <c r="P2" s="5">
        <v>84.8</v>
      </c>
      <c r="Q2" s="5">
        <v>96.124031007751938</v>
      </c>
      <c r="R2" s="10">
        <f>ADVMAG[[#This Row],[VT Comp 1]]+ADVMAG[[#This Row],[VT Comp 2]]</f>
        <v>180.92403100775192</v>
      </c>
      <c r="S2" s="6">
        <f>RANK(ADVMAG[[#This Row],[VT League Total]],ADVMAG[VT League Total], 0)</f>
        <v>5</v>
      </c>
      <c r="T2" s="5">
        <v>81.739130434782609</v>
      </c>
      <c r="U2" s="5">
        <v>100</v>
      </c>
      <c r="V2" s="10">
        <f>ADVMAG[[#This Row],[PB Comp 1]]+ADVMAG[[#This Row],[PB Comp 2]]</f>
        <v>181.73913043478262</v>
      </c>
      <c r="W2" s="6">
        <f>RANK(ADVMAG[[#This Row],[PB League Total]],ADVMAG[PB League Total], 0)</f>
        <v>2</v>
      </c>
      <c r="X2" s="5">
        <v>100</v>
      </c>
      <c r="Y2" s="5">
        <v>100</v>
      </c>
      <c r="Z2" s="10">
        <f>ADVMAG[[#This Row],[HB Comp 1]]+ADVMAG[[#This Row],[HB Comp 2]]</f>
        <v>200</v>
      </c>
      <c r="AA2" s="6">
        <f>RANK(ADVMAG[[#This Row],[HB League Total]],ADVMAG[HB League Total], 0)</f>
        <v>1</v>
      </c>
      <c r="AB2" s="5">
        <v>97.916666666666657</v>
      </c>
      <c r="AC2" s="4">
        <v>100</v>
      </c>
      <c r="AD2" s="10">
        <f>ADVMAG[[#This Row],[AA Comp 1]]+ADVMAG[[#This Row],[AA Comp 2]]</f>
        <v>197.91666666666666</v>
      </c>
      <c r="AE2" s="6">
        <f>RANK(ADVMAG[[#This Row],[AA League Total]],ADVMAG[AA League Total], 0)</f>
        <v>1</v>
      </c>
    </row>
    <row r="3" spans="1:31" x14ac:dyDescent="0.2">
      <c r="A3"/>
      <c r="B3" s="12" t="s">
        <v>50</v>
      </c>
      <c r="C3" t="s">
        <v>73</v>
      </c>
      <c r="D3" s="5">
        <v>97.297297297297305</v>
      </c>
      <c r="E3" s="5">
        <v>100</v>
      </c>
      <c r="F3" s="10">
        <f>ADVMAG[[#This Row],[FX Comp 1]]+ADVMAG[[#This Row],[FX Comp 2]]</f>
        <v>197.29729729729729</v>
      </c>
      <c r="G3" s="6">
        <f>RANK(ADVMAG[[#This Row],[FX League Total]],ADVMAG[FX League Total], 0)</f>
        <v>1</v>
      </c>
      <c r="H3" s="5">
        <v>90.157480314960623</v>
      </c>
      <c r="I3" s="5">
        <v>75.757575757575751</v>
      </c>
      <c r="J3" s="10">
        <f>ADVMAG[[#This Row],[PH Comp 1]]+ADVMAG[[#This Row],[PH Comp 2]]</f>
        <v>165.91505607253637</v>
      </c>
      <c r="K3" s="6">
        <f>RANK(ADVMAG[[#This Row],[PH  League Total]],ADVMAG[PH  League Total], 0)</f>
        <v>2</v>
      </c>
      <c r="L3" s="5">
        <v>73.631840796019901</v>
      </c>
      <c r="M3" s="5">
        <v>0</v>
      </c>
      <c r="N3" s="10">
        <f>ADVMAG[[#This Row],[SR Comp 1]]+ADVMAG[[#This Row],[SR Comp 2]]</f>
        <v>73.631840796019901</v>
      </c>
      <c r="O3" s="6">
        <f>RANK(ADVMAG[[#This Row],[SR League Total]],ADVMAG[SR League Total], 0)</f>
        <v>8</v>
      </c>
      <c r="P3" s="5">
        <v>97.6</v>
      </c>
      <c r="Q3" s="5">
        <v>100</v>
      </c>
      <c r="R3" s="10">
        <f>ADVMAG[[#This Row],[VT Comp 1]]+ADVMAG[[#This Row],[VT Comp 2]]</f>
        <v>197.6</v>
      </c>
      <c r="S3" s="6">
        <f>RANK(ADVMAG[[#This Row],[VT League Total]],ADVMAG[VT League Total], 0)</f>
        <v>1</v>
      </c>
      <c r="T3" s="5">
        <v>0</v>
      </c>
      <c r="U3" s="5">
        <v>95.238095238095227</v>
      </c>
      <c r="V3" s="10">
        <f>ADVMAG[[#This Row],[PB Comp 1]]+ADVMAG[[#This Row],[PB Comp 2]]</f>
        <v>95.238095238095227</v>
      </c>
      <c r="W3" s="6">
        <f>RANK(ADVMAG[[#This Row],[PB League Total]],ADVMAG[PB League Total], 0)</f>
        <v>6</v>
      </c>
      <c r="X3" s="5">
        <v>0</v>
      </c>
      <c r="Y3" s="5"/>
      <c r="Z3" s="10">
        <f>ADVMAG[[#This Row],[HB Comp 1]]+ADVMAG[[#This Row],[HB Comp 2]]</f>
        <v>0</v>
      </c>
      <c r="AA3" s="6">
        <f>RANK(ADVMAG[[#This Row],[HB League Total]],ADVMAG[HB League Total], 0)</f>
        <v>2</v>
      </c>
      <c r="AB3" s="5">
        <v>96.874999999999972</v>
      </c>
      <c r="AC3" s="4">
        <v>94.193548387096783</v>
      </c>
      <c r="AD3" s="10">
        <f>ADVMAG[[#This Row],[AA Comp 1]]+ADVMAG[[#This Row],[AA Comp 2]]</f>
        <v>191.06854838709677</v>
      </c>
      <c r="AE3" s="6">
        <f>RANK(ADVMAG[[#This Row],[AA League Total]],ADVMAG[AA League Total], 0)</f>
        <v>2</v>
      </c>
    </row>
    <row r="4" spans="1:31" x14ac:dyDescent="0.2">
      <c r="A4"/>
      <c r="B4" s="12" t="s">
        <v>65</v>
      </c>
      <c r="C4" s="14" t="s">
        <v>77</v>
      </c>
      <c r="D4" s="5">
        <v>90.540540540540547</v>
      </c>
      <c r="E4" s="5">
        <v>89.908256880733958</v>
      </c>
      <c r="F4" s="10">
        <f>ADVMAG[[#This Row],[FX Comp 1]]+ADVMAG[[#This Row],[FX Comp 2]]</f>
        <v>180.44879742127449</v>
      </c>
      <c r="G4" s="6">
        <f>RANK(ADVMAG[[#This Row],[FX League Total]],ADVMAG[FX League Total], 0)</f>
        <v>2</v>
      </c>
      <c r="H4" s="5">
        <v>0</v>
      </c>
      <c r="I4" s="5">
        <v>0</v>
      </c>
      <c r="J4" s="10">
        <f>ADVMAG[[#This Row],[PH Comp 1]]+ADVMAG[[#This Row],[PH Comp 2]]</f>
        <v>0</v>
      </c>
      <c r="K4" s="6">
        <f>RANK(ADVMAG[[#This Row],[PH  League Total]],ADVMAG[PH  League Total], 0)</f>
        <v>4</v>
      </c>
      <c r="L4" s="5">
        <v>100</v>
      </c>
      <c r="M4" s="5">
        <v>100</v>
      </c>
      <c r="N4" s="10">
        <f>ADVMAG[[#This Row],[SR Comp 1]]+ADVMAG[[#This Row],[SR Comp 2]]</f>
        <v>200</v>
      </c>
      <c r="O4" s="6">
        <f>RANK(ADVMAG[[#This Row],[SR League Total]],ADVMAG[SR League Total], 0)</f>
        <v>1</v>
      </c>
      <c r="P4" s="5">
        <v>92.8</v>
      </c>
      <c r="Q4" s="5">
        <v>89.922480620155042</v>
      </c>
      <c r="R4" s="10">
        <f>ADVMAG[[#This Row],[VT Comp 1]]+ADVMAG[[#This Row],[VT Comp 2]]</f>
        <v>182.72248062015504</v>
      </c>
      <c r="S4" s="6">
        <f>RANK(ADVMAG[[#This Row],[VT League Total]],ADVMAG[VT League Total], 0)</f>
        <v>3</v>
      </c>
      <c r="T4" s="5">
        <v>100</v>
      </c>
      <c r="U4" s="5">
        <v>91.428571428571431</v>
      </c>
      <c r="V4" s="10">
        <f>ADVMAG[[#This Row],[PB Comp 1]]+ADVMAG[[#This Row],[PB Comp 2]]</f>
        <v>191.42857142857144</v>
      </c>
      <c r="W4" s="6">
        <f>RANK(ADVMAG[[#This Row],[PB League Total]],ADVMAG[PB League Total], 0)</f>
        <v>1</v>
      </c>
      <c r="X4" s="5">
        <v>0</v>
      </c>
      <c r="Y4" s="5"/>
      <c r="Z4" s="10">
        <f>ADVMAG[[#This Row],[HB Comp 1]]+ADVMAG[[#This Row],[HB Comp 2]]</f>
        <v>0</v>
      </c>
      <c r="AA4" s="6">
        <f>RANK(ADVMAG[[#This Row],[HB League Total]],ADVMAG[HB League Total], 0)</f>
        <v>2</v>
      </c>
      <c r="AB4" s="5">
        <v>100</v>
      </c>
      <c r="AC4" s="4">
        <v>87.526881720430126</v>
      </c>
      <c r="AD4" s="10">
        <f>ADVMAG[[#This Row],[AA Comp 1]]+ADVMAG[[#This Row],[AA Comp 2]]</f>
        <v>187.52688172043014</v>
      </c>
      <c r="AE4" s="6">
        <f>RANK(ADVMAG[[#This Row],[AA League Total]],ADVMAG[AA League Total], 0)</f>
        <v>3</v>
      </c>
    </row>
    <row r="5" spans="1:31" x14ac:dyDescent="0.2">
      <c r="A5"/>
      <c r="B5" s="12" t="s">
        <v>51</v>
      </c>
      <c r="C5" t="s">
        <v>67</v>
      </c>
      <c r="D5" s="5">
        <v>83.333333333333343</v>
      </c>
      <c r="E5" s="5">
        <v>91.743119266055061</v>
      </c>
      <c r="F5" s="10">
        <f>ADVMAG[[#This Row],[FX Comp 1]]+ADVMAG[[#This Row],[FX Comp 2]]</f>
        <v>175.0764525993884</v>
      </c>
      <c r="G5" s="6">
        <f>RANK(ADVMAG[[#This Row],[FX League Total]],ADVMAG[FX League Total], 0)</f>
        <v>4</v>
      </c>
      <c r="H5" s="5">
        <v>0</v>
      </c>
      <c r="I5" s="5">
        <v>0</v>
      </c>
      <c r="J5" s="10">
        <f>ADVMAG[[#This Row],[PH Comp 1]]+ADVMAG[[#This Row],[PH Comp 2]]</f>
        <v>0</v>
      </c>
      <c r="K5" s="6">
        <f>RANK(ADVMAG[[#This Row],[PH  League Total]],ADVMAG[PH  League Total], 0)</f>
        <v>4</v>
      </c>
      <c r="L5" s="5">
        <v>90.049751243781088</v>
      </c>
      <c r="M5" s="5">
        <v>91.75257731958763</v>
      </c>
      <c r="N5" s="10">
        <f>ADVMAG[[#This Row],[SR Comp 1]]+ADVMAG[[#This Row],[SR Comp 2]]</f>
        <v>181.80232856336872</v>
      </c>
      <c r="O5" s="6">
        <f>RANK(ADVMAG[[#This Row],[SR League Total]],ADVMAG[SR League Total], 0)</f>
        <v>2</v>
      </c>
      <c r="P5" s="5">
        <v>89.6</v>
      </c>
      <c r="Q5" s="5">
        <v>92.248062015503876</v>
      </c>
      <c r="R5" s="10">
        <f>ADVMAG[[#This Row],[VT Comp 1]]+ADVMAG[[#This Row],[VT Comp 2]]</f>
        <v>181.84806201550387</v>
      </c>
      <c r="S5" s="6">
        <f>RANK(ADVMAG[[#This Row],[VT League Total]],ADVMAG[VT League Total], 0)</f>
        <v>4</v>
      </c>
      <c r="T5" s="5">
        <v>98.260869565217405</v>
      </c>
      <c r="U5" s="5">
        <v>66.666666666666657</v>
      </c>
      <c r="V5" s="10">
        <f>ADVMAG[[#This Row],[PB Comp 1]]+ADVMAG[[#This Row],[PB Comp 2]]</f>
        <v>164.92753623188406</v>
      </c>
      <c r="W5" s="6">
        <f>RANK(ADVMAG[[#This Row],[PB League Total]],ADVMAG[PB League Total], 0)</f>
        <v>3</v>
      </c>
      <c r="X5" s="5">
        <v>0</v>
      </c>
      <c r="Y5" s="5"/>
      <c r="Z5" s="10">
        <f>ADVMAG[[#This Row],[HB Comp 1]]+ADVMAG[[#This Row],[HB Comp 2]]</f>
        <v>0</v>
      </c>
      <c r="AA5" s="6">
        <f>RANK(ADVMAG[[#This Row],[HB League Total]],ADVMAG[HB League Total], 0)</f>
        <v>2</v>
      </c>
      <c r="AB5" s="5">
        <v>94.444444444444429</v>
      </c>
      <c r="AC5" s="4">
        <v>81.290322580645167</v>
      </c>
      <c r="AD5" s="10">
        <f>ADVMAG[[#This Row],[AA Comp 1]]+ADVMAG[[#This Row],[AA Comp 2]]</f>
        <v>175.73476702508958</v>
      </c>
      <c r="AE5" s="6">
        <f>RANK(ADVMAG[[#This Row],[AA League Total]],ADVMAG[AA League Total], 0)</f>
        <v>4</v>
      </c>
    </row>
    <row r="6" spans="1:31" x14ac:dyDescent="0.2">
      <c r="A6"/>
      <c r="B6" s="12" t="s">
        <v>63</v>
      </c>
      <c r="C6" t="s">
        <v>66</v>
      </c>
      <c r="D6" s="5">
        <v>85.585585585585591</v>
      </c>
      <c r="E6" s="5">
        <v>90.825688073394488</v>
      </c>
      <c r="F6" s="10">
        <f>ADVMAG[[#This Row],[FX Comp 1]]+ADVMAG[[#This Row],[FX Comp 2]]</f>
        <v>176.41127365898006</v>
      </c>
      <c r="G6" s="6">
        <f>RANK(ADVMAG[[#This Row],[FX League Total]],ADVMAG[FX League Total], 0)</f>
        <v>3</v>
      </c>
      <c r="H6" s="5">
        <v>0</v>
      </c>
      <c r="I6" s="5">
        <v>0</v>
      </c>
      <c r="J6" s="10">
        <f>ADVMAG[[#This Row],[PH Comp 1]]+ADVMAG[[#This Row],[PH Comp 2]]</f>
        <v>0</v>
      </c>
      <c r="K6" s="6">
        <f>RANK(ADVMAG[[#This Row],[PH  League Total]],ADVMAG[PH  League Total], 0)</f>
        <v>4</v>
      </c>
      <c r="L6" s="5">
        <v>97.512437810945272</v>
      </c>
      <c r="M6" s="5">
        <v>38.144329896907216</v>
      </c>
      <c r="N6" s="10">
        <f>ADVMAG[[#This Row],[SR Comp 1]]+ADVMAG[[#This Row],[SR Comp 2]]</f>
        <v>135.65676770785248</v>
      </c>
      <c r="O6" s="6">
        <f>RANK(ADVMAG[[#This Row],[SR League Total]],ADVMAG[SR League Total], 0)</f>
        <v>4</v>
      </c>
      <c r="P6" s="5">
        <v>80.8</v>
      </c>
      <c r="Q6" s="5">
        <v>84.496124031007767</v>
      </c>
      <c r="R6" s="10">
        <f>ADVMAG[[#This Row],[VT Comp 1]]+ADVMAG[[#This Row],[VT Comp 2]]</f>
        <v>165.29612403100776</v>
      </c>
      <c r="S6" s="6">
        <f>RANK(ADVMAG[[#This Row],[VT League Total]],ADVMAG[VT League Total], 0)</f>
        <v>6</v>
      </c>
      <c r="T6" s="5">
        <v>80</v>
      </c>
      <c r="U6" s="5">
        <v>81.904761904761898</v>
      </c>
      <c r="V6" s="10">
        <f>ADVMAG[[#This Row],[PB Comp 1]]+ADVMAG[[#This Row],[PB Comp 2]]</f>
        <v>161.9047619047619</v>
      </c>
      <c r="W6" s="6">
        <f>RANK(ADVMAG[[#This Row],[PB League Total]],ADVMAG[PB League Total], 0)</f>
        <v>4</v>
      </c>
      <c r="X6" s="5">
        <v>0</v>
      </c>
      <c r="Y6" s="5"/>
      <c r="Z6" s="10">
        <f>ADVMAG[[#This Row],[HB Comp 1]]+ADVMAG[[#This Row],[HB Comp 2]]</f>
        <v>0</v>
      </c>
      <c r="AA6" s="6">
        <f>RANK(ADVMAG[[#This Row],[HB League Total]],ADVMAG[HB League Total], 0)</f>
        <v>2</v>
      </c>
      <c r="AB6" s="5">
        <v>89.351851851851833</v>
      </c>
      <c r="AC6" s="4">
        <v>71.18279569892475</v>
      </c>
      <c r="AD6" s="10">
        <f>ADVMAG[[#This Row],[AA Comp 1]]+ADVMAG[[#This Row],[AA Comp 2]]</f>
        <v>160.53464755077658</v>
      </c>
      <c r="AE6" s="6">
        <f>RANK(ADVMAG[[#This Row],[AA League Total]],ADVMAG[AA League Total], 0)</f>
        <v>5</v>
      </c>
    </row>
    <row r="7" spans="1:31" x14ac:dyDescent="0.2">
      <c r="A7"/>
      <c r="B7" s="12" t="s">
        <v>42</v>
      </c>
      <c r="C7" s="14" t="s">
        <v>76</v>
      </c>
      <c r="D7" s="4">
        <v>70.72072072072072</v>
      </c>
      <c r="E7" s="4">
        <v>77.064220183486256</v>
      </c>
      <c r="F7" s="10">
        <f>ADVMAG[[#This Row],[FX Comp 1]]+ADVMAG[[#This Row],[FX Comp 2]]</f>
        <v>147.78494090420696</v>
      </c>
      <c r="G7" s="6">
        <f>RANK(ADVMAG[[#This Row],[FX League Total]],ADVMAG[FX League Total], 0)</f>
        <v>5</v>
      </c>
      <c r="H7" s="4">
        <v>0</v>
      </c>
      <c r="I7" s="5">
        <v>0</v>
      </c>
      <c r="J7" s="10">
        <f>ADVMAG[[#This Row],[PH Comp 1]]+ADVMAG[[#This Row],[PH Comp 2]]</f>
        <v>0</v>
      </c>
      <c r="K7" s="6">
        <f>RANK(ADVMAG[[#This Row],[PH  League Total]],ADVMAG[PH  League Total], 0)</f>
        <v>4</v>
      </c>
      <c r="L7" s="4">
        <v>0</v>
      </c>
      <c r="M7" s="4">
        <v>79.381443298969074</v>
      </c>
      <c r="N7" s="10">
        <f>ADVMAG[[#This Row],[SR Comp 1]]+ADVMAG[[#This Row],[SR Comp 2]]</f>
        <v>79.381443298969074</v>
      </c>
      <c r="O7" s="6">
        <f>RANK(ADVMAG[[#This Row],[SR League Total]],ADVMAG[SR League Total], 0)</f>
        <v>7</v>
      </c>
      <c r="P7" s="4">
        <v>100</v>
      </c>
      <c r="Q7" s="5">
        <v>96.124031007751938</v>
      </c>
      <c r="R7" s="10">
        <f>ADVMAG[[#This Row],[VT Comp 1]]+ADVMAG[[#This Row],[VT Comp 2]]</f>
        <v>196.12403100775194</v>
      </c>
      <c r="S7" s="6">
        <f>RANK(ADVMAG[[#This Row],[VT League Total]],ADVMAG[VT League Total], 0)</f>
        <v>2</v>
      </c>
      <c r="T7" s="4">
        <v>0</v>
      </c>
      <c r="U7" s="5">
        <v>74.285714285714292</v>
      </c>
      <c r="V7" s="10">
        <f>ADVMAG[[#This Row],[PB Comp 1]]+ADVMAG[[#This Row],[PB Comp 2]]</f>
        <v>74.285714285714292</v>
      </c>
      <c r="W7" s="6">
        <f>RANK(ADVMAG[[#This Row],[PB League Total]],ADVMAG[PB League Total], 0)</f>
        <v>9</v>
      </c>
      <c r="X7" s="4">
        <v>0</v>
      </c>
      <c r="Y7" s="5"/>
      <c r="Z7" s="10">
        <f>ADVMAG[[#This Row],[HB Comp 1]]+ADVMAG[[#This Row],[HB Comp 2]]</f>
        <v>0</v>
      </c>
      <c r="AA7" s="6">
        <f>RANK(ADVMAG[[#This Row],[HB League Total]],ADVMAG[HB League Total], 0)</f>
        <v>2</v>
      </c>
      <c r="AB7" s="4">
        <v>47.106481481481481</v>
      </c>
      <c r="AC7" s="4">
        <v>78.06451612903227</v>
      </c>
      <c r="AD7" s="10">
        <f>ADVMAG[[#This Row],[AA Comp 1]]+ADVMAG[[#This Row],[AA Comp 2]]</f>
        <v>125.17099761051375</v>
      </c>
      <c r="AE7" s="6">
        <f>RANK(ADVMAG[[#This Row],[AA League Total]],ADVMAG[AA League Total], 0)</f>
        <v>6</v>
      </c>
    </row>
    <row r="8" spans="1:31" x14ac:dyDescent="0.2">
      <c r="A8"/>
      <c r="B8" s="12" t="s">
        <v>64</v>
      </c>
      <c r="C8" s="13" t="s">
        <v>71</v>
      </c>
      <c r="D8" s="5">
        <v>0</v>
      </c>
      <c r="E8" s="5">
        <v>71.559633027522935</v>
      </c>
      <c r="F8" s="10">
        <f>ADVMAG[[#This Row],[FX Comp 1]]+ADVMAG[[#This Row],[FX Comp 2]]</f>
        <v>71.559633027522935</v>
      </c>
      <c r="G8" s="6">
        <f>RANK(ADVMAG[[#This Row],[FX League Total]],ADVMAG[FX League Total], 0)</f>
        <v>10</v>
      </c>
      <c r="H8" s="5">
        <v>0</v>
      </c>
      <c r="I8" s="5">
        <v>0</v>
      </c>
      <c r="J8" s="10">
        <f>ADVMAG[[#This Row],[PH Comp 1]]+ADVMAG[[#This Row],[PH Comp 2]]</f>
        <v>0</v>
      </c>
      <c r="K8" s="6">
        <f>RANK(ADVMAG[[#This Row],[PH  League Total]],ADVMAG[PH  League Total], 0)</f>
        <v>4</v>
      </c>
      <c r="L8" s="5">
        <v>77.611940298507449</v>
      </c>
      <c r="M8" s="5">
        <v>64.948453608247419</v>
      </c>
      <c r="N8" s="10">
        <f>ADVMAG[[#This Row],[SR Comp 1]]+ADVMAG[[#This Row],[SR Comp 2]]</f>
        <v>142.56039390675488</v>
      </c>
      <c r="O8" s="6">
        <f>RANK(ADVMAG[[#This Row],[SR League Total]],ADVMAG[SR League Total], 0)</f>
        <v>3</v>
      </c>
      <c r="P8" s="5">
        <v>0</v>
      </c>
      <c r="Q8" s="5">
        <v>86.04651162790698</v>
      </c>
      <c r="R8" s="10">
        <f>ADVMAG[[#This Row],[VT Comp 1]]+ADVMAG[[#This Row],[VT Comp 2]]</f>
        <v>86.04651162790698</v>
      </c>
      <c r="S8" s="6">
        <f>RANK(ADVMAG[[#This Row],[VT League Total]],ADVMAG[VT League Total], 0)</f>
        <v>11</v>
      </c>
      <c r="T8" s="5">
        <v>73.91304347826086</v>
      </c>
      <c r="U8" s="5">
        <v>80</v>
      </c>
      <c r="V8" s="10">
        <f>ADVMAG[[#This Row],[PB Comp 1]]+ADVMAG[[#This Row],[PB Comp 2]]</f>
        <v>153.91304347826087</v>
      </c>
      <c r="W8" s="6">
        <f>RANK(ADVMAG[[#This Row],[PB League Total]],ADVMAG[PB League Total], 0)</f>
        <v>5</v>
      </c>
      <c r="X8" s="5">
        <v>0</v>
      </c>
      <c r="Y8" s="5"/>
      <c r="Z8" s="10">
        <f>ADVMAG[[#This Row],[HB Comp 1]]+ADVMAG[[#This Row],[HB Comp 2]]</f>
        <v>0</v>
      </c>
      <c r="AA8" s="6">
        <f>RANK(ADVMAG[[#This Row],[HB League Total]],ADVMAG[HB League Total], 0)</f>
        <v>2</v>
      </c>
      <c r="AB8" s="5">
        <v>37.731481481481481</v>
      </c>
      <c r="AC8" s="4">
        <v>72.258064516129053</v>
      </c>
      <c r="AD8" s="10">
        <f>ADVMAG[[#This Row],[AA Comp 1]]+ADVMAG[[#This Row],[AA Comp 2]]</f>
        <v>109.98954599761053</v>
      </c>
      <c r="AE8" s="6">
        <f>RANK(ADVMAG[[#This Row],[AA League Total]],ADVMAG[AA League Total], 0)</f>
        <v>7</v>
      </c>
    </row>
    <row r="9" spans="1:31" x14ac:dyDescent="0.2">
      <c r="A9"/>
      <c r="B9" s="12" t="s">
        <v>50</v>
      </c>
      <c r="C9" t="s">
        <v>70</v>
      </c>
      <c r="D9" s="5">
        <v>100</v>
      </c>
      <c r="E9" s="5"/>
      <c r="F9" s="10">
        <f>ADVMAG[[#This Row],[FX Comp 1]]+ADVMAG[[#This Row],[FX Comp 2]]</f>
        <v>100</v>
      </c>
      <c r="G9" s="6">
        <f>RANK(ADVMAG[[#This Row],[FX League Total]],ADVMAG[FX League Total], 0)</f>
        <v>6</v>
      </c>
      <c r="H9" s="5">
        <v>0</v>
      </c>
      <c r="I9" s="5"/>
      <c r="J9" s="10">
        <f>ADVMAG[[#This Row],[PH Comp 1]]+ADVMAG[[#This Row],[PH Comp 2]]</f>
        <v>0</v>
      </c>
      <c r="K9" s="6">
        <f>RANK(ADVMAG[[#This Row],[PH  League Total]],ADVMAG[PH  League Total], 0)</f>
        <v>4</v>
      </c>
      <c r="L9" s="5">
        <v>100</v>
      </c>
      <c r="M9" s="5"/>
      <c r="N9" s="10">
        <f>ADVMAG[[#This Row],[SR Comp 1]]+ADVMAG[[#This Row],[SR Comp 2]]</f>
        <v>100</v>
      </c>
      <c r="O9" s="6">
        <f>RANK(ADVMAG[[#This Row],[SR League Total]],ADVMAG[SR League Total], 0)</f>
        <v>5</v>
      </c>
      <c r="P9" s="5">
        <v>91.2</v>
      </c>
      <c r="Q9" s="5"/>
      <c r="R9" s="10">
        <f>ADVMAG[[#This Row],[VT Comp 1]]+ADVMAG[[#This Row],[VT Comp 2]]</f>
        <v>91.2</v>
      </c>
      <c r="S9" s="6">
        <f>RANK(ADVMAG[[#This Row],[VT League Total]],ADVMAG[VT League Total], 0)</f>
        <v>7</v>
      </c>
      <c r="T9" s="5">
        <v>89.130434782608688</v>
      </c>
      <c r="U9" s="5"/>
      <c r="V9" s="10">
        <f>ADVMAG[[#This Row],[PB Comp 1]]+ADVMAG[[#This Row],[PB Comp 2]]</f>
        <v>89.130434782608688</v>
      </c>
      <c r="W9" s="6">
        <f>RANK(ADVMAG[[#This Row],[PB League Total]],ADVMAG[PB League Total], 0)</f>
        <v>7</v>
      </c>
      <c r="X9" s="5">
        <v>0</v>
      </c>
      <c r="Y9" s="5"/>
      <c r="Z9" s="10">
        <f>ADVMAG[[#This Row],[HB Comp 1]]+ADVMAG[[#This Row],[HB Comp 2]]</f>
        <v>0</v>
      </c>
      <c r="AA9" s="6">
        <f>RANK(ADVMAG[[#This Row],[HB League Total]],ADVMAG[HB League Total], 0)</f>
        <v>2</v>
      </c>
      <c r="AB9" s="5">
        <v>99.074074074074062</v>
      </c>
      <c r="AD9" s="10">
        <f>ADVMAG[[#This Row],[AA Comp 1]]+ADVMAG[[#This Row],[AA Comp 2]]</f>
        <v>99.074074074074062</v>
      </c>
      <c r="AE9" s="6">
        <f>RANK(ADVMAG[[#This Row],[AA League Total]],ADVMAG[AA League Total], 0)</f>
        <v>8</v>
      </c>
    </row>
    <row r="10" spans="1:31" x14ac:dyDescent="0.2">
      <c r="A10"/>
      <c r="B10" s="12" t="s">
        <v>64</v>
      </c>
      <c r="C10" s="13" t="s">
        <v>72</v>
      </c>
      <c r="D10" s="5">
        <v>72.972972972972968</v>
      </c>
      <c r="E10" s="5"/>
      <c r="F10" s="10">
        <f>ADVMAG[[#This Row],[FX Comp 1]]+ADVMAG[[#This Row],[FX Comp 2]]</f>
        <v>72.972972972972968</v>
      </c>
      <c r="G10" s="6">
        <f>RANK(ADVMAG[[#This Row],[FX League Total]],ADVMAG[FX League Total], 0)</f>
        <v>9</v>
      </c>
      <c r="H10" s="5">
        <v>87.007874015748044</v>
      </c>
      <c r="I10" s="5"/>
      <c r="J10" s="10">
        <f>ADVMAG[[#This Row],[PH Comp 1]]+ADVMAG[[#This Row],[PH Comp 2]]</f>
        <v>87.007874015748044</v>
      </c>
      <c r="K10" s="6">
        <f>RANK(ADVMAG[[#This Row],[PH  League Total]],ADVMAG[PH  League Total], 0)</f>
        <v>3</v>
      </c>
      <c r="L10" s="5">
        <v>0</v>
      </c>
      <c r="M10" s="5"/>
      <c r="N10" s="10">
        <f>ADVMAG[[#This Row],[SR Comp 1]]+ADVMAG[[#This Row],[SR Comp 2]]</f>
        <v>0</v>
      </c>
      <c r="O10" s="6">
        <f>RANK(ADVMAG[[#This Row],[SR League Total]],ADVMAG[SR League Total], 0)</f>
        <v>10</v>
      </c>
      <c r="P10" s="5">
        <v>88.8</v>
      </c>
      <c r="Q10" s="5"/>
      <c r="R10" s="10">
        <f>ADVMAG[[#This Row],[VT Comp 1]]+ADVMAG[[#This Row],[VT Comp 2]]</f>
        <v>88.8</v>
      </c>
      <c r="S10" s="6">
        <f>RANK(ADVMAG[[#This Row],[VT League Total]],ADVMAG[VT League Total], 0)</f>
        <v>9</v>
      </c>
      <c r="T10" s="5">
        <v>87.826086956521735</v>
      </c>
      <c r="U10" s="5"/>
      <c r="V10" s="10">
        <f>ADVMAG[[#This Row],[PB Comp 1]]+ADVMAG[[#This Row],[PB Comp 2]]</f>
        <v>87.826086956521735</v>
      </c>
      <c r="W10" s="6">
        <f>RANK(ADVMAG[[#This Row],[PB League Total]],ADVMAG[PB League Total], 0)</f>
        <v>8</v>
      </c>
      <c r="X10" s="5">
        <v>0</v>
      </c>
      <c r="Y10" s="5"/>
      <c r="Z10" s="10">
        <f>ADVMAG[[#This Row],[HB Comp 1]]+ADVMAG[[#This Row],[HB Comp 2]]</f>
        <v>0</v>
      </c>
      <c r="AA10" s="6">
        <f>RANK(ADVMAG[[#This Row],[HB League Total]],ADVMAG[HB League Total], 0)</f>
        <v>2</v>
      </c>
      <c r="AB10" s="5">
        <v>93.402777777777786</v>
      </c>
      <c r="AD10" s="10">
        <f>ADVMAG[[#This Row],[AA Comp 1]]+ADVMAG[[#This Row],[AA Comp 2]]</f>
        <v>93.402777777777786</v>
      </c>
      <c r="AE10" s="6">
        <f>RANK(ADVMAG[[#This Row],[AA League Total]],ADVMAG[AA League Total], 0)</f>
        <v>9</v>
      </c>
    </row>
    <row r="11" spans="1:31" x14ac:dyDescent="0.2">
      <c r="A11"/>
      <c r="B11" s="12" t="s">
        <v>42</v>
      </c>
      <c r="C11" s="14" t="s">
        <v>75</v>
      </c>
      <c r="D11" s="5">
        <v>79.279279279279294</v>
      </c>
      <c r="E11" s="5">
        <v>0</v>
      </c>
      <c r="F11" s="10">
        <f>ADVMAG[[#This Row],[FX Comp 1]]+ADVMAG[[#This Row],[FX Comp 2]]</f>
        <v>79.279279279279294</v>
      </c>
      <c r="G11" s="6">
        <f>RANK(ADVMAG[[#This Row],[FX League Total]],ADVMAG[FX League Total], 0)</f>
        <v>8</v>
      </c>
      <c r="H11" s="5">
        <v>0</v>
      </c>
      <c r="I11" s="5">
        <v>0</v>
      </c>
      <c r="J11" s="10">
        <f>ADVMAG[[#This Row],[PH Comp 1]]+ADVMAG[[#This Row],[PH Comp 2]]</f>
        <v>0</v>
      </c>
      <c r="K11" s="6">
        <f>RANK(ADVMAG[[#This Row],[PH  League Total]],ADVMAG[PH  League Total], 0)</f>
        <v>4</v>
      </c>
      <c r="L11" s="5">
        <v>0</v>
      </c>
      <c r="M11" s="5">
        <v>89.690721649484544</v>
      </c>
      <c r="N11" s="10">
        <f>ADVMAG[[#This Row],[SR Comp 1]]+ADVMAG[[#This Row],[SR Comp 2]]</f>
        <v>89.690721649484544</v>
      </c>
      <c r="O11" s="6">
        <f>RANK(ADVMAG[[#This Row],[SR League Total]],ADVMAG[SR League Total], 0)</f>
        <v>6</v>
      </c>
      <c r="P11" s="5">
        <v>88</v>
      </c>
      <c r="Q11" s="5">
        <v>0</v>
      </c>
      <c r="R11" s="10">
        <f>ADVMAG[[#This Row],[VT Comp 1]]+ADVMAG[[#This Row],[VT Comp 2]]</f>
        <v>88</v>
      </c>
      <c r="S11" s="6">
        <f>RANK(ADVMAG[[#This Row],[VT League Total]],ADVMAG[VT League Total], 0)</f>
        <v>10</v>
      </c>
      <c r="T11" s="5">
        <v>0</v>
      </c>
      <c r="U11" s="5">
        <v>0</v>
      </c>
      <c r="V11" s="10">
        <f>ADVMAG[[#This Row],[PB Comp 1]]+ADVMAG[[#This Row],[PB Comp 2]]</f>
        <v>0</v>
      </c>
      <c r="W11" s="6">
        <f>RANK(ADVMAG[[#This Row],[PB League Total]],ADVMAG[PB League Total], 0)</f>
        <v>11</v>
      </c>
      <c r="X11" s="5">
        <v>0</v>
      </c>
      <c r="Y11" s="5"/>
      <c r="Z11" s="10">
        <f>ADVMAG[[#This Row],[HB Comp 1]]+ADVMAG[[#This Row],[HB Comp 2]]</f>
        <v>0</v>
      </c>
      <c r="AA11" s="6">
        <f>RANK(ADVMAG[[#This Row],[HB League Total]],ADVMAG[HB League Total], 0)</f>
        <v>2</v>
      </c>
      <c r="AB11" s="5">
        <v>45.833333333333329</v>
      </c>
      <c r="AC11" s="5">
        <v>45.806451612903231</v>
      </c>
      <c r="AD11" s="10">
        <f>ADVMAG[[#This Row],[AA Comp 1]]+ADVMAG[[#This Row],[AA Comp 2]]</f>
        <v>91.63978494623656</v>
      </c>
      <c r="AE11" s="6">
        <f>RANK(ADVMAG[[#This Row],[AA League Total]],ADVMAG[AA League Total], 0)</f>
        <v>10</v>
      </c>
    </row>
    <row r="12" spans="1:31" x14ac:dyDescent="0.2">
      <c r="A12"/>
      <c r="B12" t="s">
        <v>238</v>
      </c>
      <c r="C12" t="s">
        <v>239</v>
      </c>
      <c r="D12" s="5"/>
      <c r="E12" s="5">
        <v>94.495412844036721</v>
      </c>
      <c r="F12" s="10">
        <f>ADVMAG[[#This Row],[FX Comp 1]]+ADVMAG[[#This Row],[FX Comp 2]]</f>
        <v>94.495412844036721</v>
      </c>
      <c r="G12" s="6">
        <f>RANK(ADVMAG[[#This Row],[FX League Total]],ADVMAG[FX League Total], 0)</f>
        <v>7</v>
      </c>
      <c r="H12" s="5"/>
      <c r="I12" s="5">
        <v>0</v>
      </c>
      <c r="J12" s="10">
        <f>ADVMAG[[#This Row],[PH Comp 1]]+ADVMAG[[#This Row],[PH Comp 2]]</f>
        <v>0</v>
      </c>
      <c r="K12" s="6">
        <f>RANK(ADVMAG[[#This Row],[PH  League Total]],ADVMAG[PH  League Total], 0)</f>
        <v>4</v>
      </c>
      <c r="L12" s="5"/>
      <c r="M12" s="5">
        <v>0</v>
      </c>
      <c r="N12" s="10">
        <f>ADVMAG[[#This Row],[SR Comp 1]]+ADVMAG[[#This Row],[SR Comp 2]]</f>
        <v>0</v>
      </c>
      <c r="O12" s="6">
        <f>RANK(ADVMAG[[#This Row],[SR League Total]],ADVMAG[SR League Total], 0)</f>
        <v>10</v>
      </c>
      <c r="P12" s="5"/>
      <c r="Q12" s="5">
        <v>89.922480620155042</v>
      </c>
      <c r="R12" s="10">
        <f>ADVMAG[[#This Row],[VT Comp 1]]+ADVMAG[[#This Row],[VT Comp 2]]</f>
        <v>89.922480620155042</v>
      </c>
      <c r="S12" s="6">
        <f>RANK(ADVMAG[[#This Row],[VT League Total]],ADVMAG[VT League Total], 0)</f>
        <v>8</v>
      </c>
      <c r="T12" s="5"/>
      <c r="U12" s="5">
        <v>0</v>
      </c>
      <c r="V12" s="10">
        <f>ADVMAG[[#This Row],[PB Comp 1]]+ADVMAG[[#This Row],[PB Comp 2]]</f>
        <v>0</v>
      </c>
      <c r="W12" s="6">
        <f>RANK(ADVMAG[[#This Row],[PB League Total]],ADVMAG[PB League Total], 0)</f>
        <v>11</v>
      </c>
      <c r="X12" s="5"/>
      <c r="Y12" s="5"/>
      <c r="Z12" s="10">
        <f>ADVMAG[[#This Row],[HB Comp 1]]+ADVMAG[[#This Row],[HB Comp 2]]</f>
        <v>0</v>
      </c>
      <c r="AA12" s="6">
        <f>RANK(ADVMAG[[#This Row],[HB League Total]],ADVMAG[HB League Total], 0)</f>
        <v>2</v>
      </c>
      <c r="AB12" s="5"/>
      <c r="AC12" s="4">
        <v>47.096774193548391</v>
      </c>
      <c r="AD12" s="10">
        <f>ADVMAG[[#This Row],[AA Comp 1]]+ADVMAG[[#This Row],[AA Comp 2]]</f>
        <v>47.096774193548391</v>
      </c>
      <c r="AE12" s="6">
        <f>RANK(ADVMAG[[#This Row],[AA League Total]],ADVMAG[AA League Total], 0)</f>
        <v>11</v>
      </c>
    </row>
    <row r="13" spans="1:31" x14ac:dyDescent="0.2">
      <c r="A13"/>
      <c r="B13" s="12" t="s">
        <v>51</v>
      </c>
      <c r="C13" t="s">
        <v>68</v>
      </c>
      <c r="D13" s="4">
        <v>0</v>
      </c>
      <c r="E13" s="5"/>
      <c r="F13" s="10">
        <f>ADVMAG[[#This Row],[FX Comp 1]]+ADVMAG[[#This Row],[FX Comp 2]]</f>
        <v>0</v>
      </c>
      <c r="G13" s="6">
        <f>RANK(ADVMAG[[#This Row],[FX League Total]],ADVMAG[FX League Total], 0)</f>
        <v>11</v>
      </c>
      <c r="H13" s="5">
        <v>0</v>
      </c>
      <c r="I13" s="5"/>
      <c r="J13" s="10">
        <f>ADVMAG[[#This Row],[PH Comp 1]]+ADVMAG[[#This Row],[PH Comp 2]]</f>
        <v>0</v>
      </c>
      <c r="K13" s="6">
        <f>RANK(ADVMAG[[#This Row],[PH  League Total]],ADVMAG[PH  League Total], 0)</f>
        <v>4</v>
      </c>
      <c r="L13" s="5">
        <v>72.636815920398007</v>
      </c>
      <c r="M13" s="5"/>
      <c r="N13" s="10">
        <f>ADVMAG[[#This Row],[SR Comp 1]]+ADVMAG[[#This Row],[SR Comp 2]]</f>
        <v>72.636815920398007</v>
      </c>
      <c r="O13" s="6">
        <f>RANK(ADVMAG[[#This Row],[SR League Total]],ADVMAG[SR League Total], 0)</f>
        <v>9</v>
      </c>
      <c r="P13" s="5">
        <v>0</v>
      </c>
      <c r="Q13" s="5"/>
      <c r="R13" s="10">
        <f>ADVMAG[[#This Row],[VT Comp 1]]+ADVMAG[[#This Row],[VT Comp 2]]</f>
        <v>0</v>
      </c>
      <c r="S13" s="6">
        <f>RANK(ADVMAG[[#This Row],[VT League Total]],ADVMAG[VT League Total], 0)</f>
        <v>12</v>
      </c>
      <c r="T13" s="5">
        <v>55.652173913043477</v>
      </c>
      <c r="U13" s="5"/>
      <c r="V13" s="10">
        <f>ADVMAG[[#This Row],[PB Comp 1]]+ADVMAG[[#This Row],[PB Comp 2]]</f>
        <v>55.652173913043477</v>
      </c>
      <c r="W13" s="6">
        <f>RANK(ADVMAG[[#This Row],[PB League Total]],ADVMAG[PB League Total], 0)</f>
        <v>10</v>
      </c>
      <c r="X13" s="5">
        <v>0</v>
      </c>
      <c r="Y13" s="5"/>
      <c r="Z13" s="10">
        <f>ADVMAG[[#This Row],[HB Comp 1]]+ADVMAG[[#This Row],[HB Comp 2]]</f>
        <v>0</v>
      </c>
      <c r="AA13" s="6">
        <f>RANK(ADVMAG[[#This Row],[HB League Total]],ADVMAG[HB League Total], 0)</f>
        <v>2</v>
      </c>
      <c r="AB13" s="5">
        <v>31.712962962962958</v>
      </c>
      <c r="AC13" s="5"/>
      <c r="AD13" s="10">
        <f>ADVMAG[[#This Row],[AA Comp 1]]+ADVMAG[[#This Row],[AA Comp 2]]</f>
        <v>31.712962962962958</v>
      </c>
      <c r="AE13" s="6">
        <f>RANK(ADVMAG[[#This Row],[AA League Total]],ADVMAG[AA League Total], 0)</f>
        <v>12</v>
      </c>
    </row>
    <row r="14" spans="1:31" x14ac:dyDescent="0.2">
      <c r="A14"/>
      <c r="B14" t="s">
        <v>42</v>
      </c>
      <c r="C14" s="20" t="s">
        <v>237</v>
      </c>
      <c r="D14" s="5"/>
      <c r="E14" s="5">
        <v>0</v>
      </c>
      <c r="F14" s="10">
        <f>ADVMAG[[#This Row],[FX Comp 1]]+ADVMAG[[#This Row],[FX Comp 2]]</f>
        <v>0</v>
      </c>
      <c r="G14" s="6">
        <f>RANK(ADVMAG[[#This Row],[FX League Total]],ADVMAG[FX League Total], 0)</f>
        <v>11</v>
      </c>
      <c r="H14" s="5"/>
      <c r="I14" s="5">
        <v>0</v>
      </c>
      <c r="J14" s="10">
        <f>ADVMAG[[#This Row],[PH Comp 1]]+ADVMAG[[#This Row],[PH Comp 2]]</f>
        <v>0</v>
      </c>
      <c r="K14" s="6">
        <f>RANK(ADVMAG[[#This Row],[PH  League Total]],ADVMAG[PH  League Total], 0)</f>
        <v>4</v>
      </c>
      <c r="L14" s="5"/>
      <c r="M14" s="5">
        <v>0</v>
      </c>
      <c r="N14" s="10">
        <f>ADVMAG[[#This Row],[SR Comp 1]]+ADVMAG[[#This Row],[SR Comp 2]]</f>
        <v>0</v>
      </c>
      <c r="O14" s="6">
        <f>RANK(ADVMAG[[#This Row],[SR League Total]],ADVMAG[SR League Total], 0)</f>
        <v>10</v>
      </c>
      <c r="P14" s="5"/>
      <c r="Q14" s="5">
        <v>0</v>
      </c>
      <c r="R14" s="10">
        <f>ADVMAG[[#This Row],[VT Comp 1]]+ADVMAG[[#This Row],[VT Comp 2]]</f>
        <v>0</v>
      </c>
      <c r="S14" s="6">
        <f>RANK(ADVMAG[[#This Row],[VT League Total]],ADVMAG[VT League Total], 0)</f>
        <v>12</v>
      </c>
      <c r="T14" s="5"/>
      <c r="U14" s="5">
        <v>0</v>
      </c>
      <c r="V14" s="10">
        <f>ADVMAG[[#This Row],[PB Comp 1]]+ADVMAG[[#This Row],[PB Comp 2]]</f>
        <v>0</v>
      </c>
      <c r="W14" s="6">
        <f>RANK(ADVMAG[[#This Row],[PB League Total]],ADVMAG[PB League Total], 0)</f>
        <v>11</v>
      </c>
      <c r="X14" s="5"/>
      <c r="Y14" s="5"/>
      <c r="Z14" s="10">
        <f>ADVMAG[[#This Row],[HB Comp 1]]+ADVMAG[[#This Row],[HB Comp 2]]</f>
        <v>0</v>
      </c>
      <c r="AA14" s="6">
        <f>RANK(ADVMAG[[#This Row],[HB League Total]],ADVMAG[HB League Total], 0)</f>
        <v>2</v>
      </c>
      <c r="AB14" s="5"/>
      <c r="AC14" s="4">
        <v>0</v>
      </c>
      <c r="AD14" s="10">
        <f>ADVMAG[[#This Row],[AA Comp 1]]+ADVMAG[[#This Row],[AA Comp 2]]</f>
        <v>0</v>
      </c>
      <c r="AE14" s="6">
        <f>RANK(ADVMAG[[#This Row],[AA League Total]],ADVMAG[AA League Total], 0)</f>
        <v>13</v>
      </c>
    </row>
    <row r="15" spans="1:31" x14ac:dyDescent="0.2">
      <c r="A15"/>
      <c r="B15" t="s">
        <v>238</v>
      </c>
      <c r="C15" t="s">
        <v>236</v>
      </c>
      <c r="D15" s="5"/>
      <c r="E15" s="5">
        <v>0</v>
      </c>
      <c r="F15" s="10">
        <f>ADVMAG[[#This Row],[FX Comp 1]]+ADVMAG[[#This Row],[FX Comp 2]]</f>
        <v>0</v>
      </c>
      <c r="G15" s="6">
        <f>RANK(ADVMAG[[#This Row],[FX League Total]],ADVMAG[FX League Total], 0)</f>
        <v>11</v>
      </c>
      <c r="H15" s="5"/>
      <c r="I15" s="5">
        <v>0</v>
      </c>
      <c r="J15" s="10">
        <f>ADVMAG[[#This Row],[PH Comp 1]]+ADVMAG[[#This Row],[PH Comp 2]]</f>
        <v>0</v>
      </c>
      <c r="K15" s="6">
        <f>RANK(ADVMAG[[#This Row],[PH  League Total]],ADVMAG[PH  League Total], 0)</f>
        <v>4</v>
      </c>
      <c r="L15" s="5"/>
      <c r="M15" s="5">
        <v>0</v>
      </c>
      <c r="N15" s="10">
        <f>ADVMAG[[#This Row],[SR Comp 1]]+ADVMAG[[#This Row],[SR Comp 2]]</f>
        <v>0</v>
      </c>
      <c r="O15" s="6">
        <f>RANK(ADVMAG[[#This Row],[SR League Total]],ADVMAG[SR League Total], 0)</f>
        <v>10</v>
      </c>
      <c r="P15" s="5"/>
      <c r="Q15" s="5">
        <v>0</v>
      </c>
      <c r="R15" s="10">
        <f>ADVMAG[[#This Row],[VT Comp 1]]+ADVMAG[[#This Row],[VT Comp 2]]</f>
        <v>0</v>
      </c>
      <c r="S15" s="6">
        <f>RANK(ADVMAG[[#This Row],[VT League Total]],ADVMAG[VT League Total], 0)</f>
        <v>12</v>
      </c>
      <c r="T15" s="5"/>
      <c r="U15" s="5">
        <v>0</v>
      </c>
      <c r="V15" s="10">
        <f>ADVMAG[[#This Row],[PB Comp 1]]+ADVMAG[[#This Row],[PB Comp 2]]</f>
        <v>0</v>
      </c>
      <c r="W15" s="6">
        <f>RANK(ADVMAG[[#This Row],[PB League Total]],ADVMAG[PB League Total], 0)</f>
        <v>11</v>
      </c>
      <c r="X15" s="5"/>
      <c r="Y15" s="5"/>
      <c r="Z15" s="10">
        <f>ADVMAG[[#This Row],[HB Comp 1]]+ADVMAG[[#This Row],[HB Comp 2]]</f>
        <v>0</v>
      </c>
      <c r="AA15" s="6">
        <f>RANK(ADVMAG[[#This Row],[HB League Total]],ADVMAG[HB League Total], 0)</f>
        <v>2</v>
      </c>
      <c r="AB15" s="5"/>
      <c r="AC15" s="4">
        <v>0</v>
      </c>
      <c r="AD15" s="10">
        <f>ADVMAG[[#This Row],[AA Comp 1]]+ADVMAG[[#This Row],[AA Comp 2]]</f>
        <v>0</v>
      </c>
      <c r="AE15" s="6">
        <f>RANK(ADVMAG[[#This Row],[AA League Total]],ADVMAG[AA League Total], 0)</f>
        <v>13</v>
      </c>
    </row>
    <row r="16" spans="1:31" x14ac:dyDescent="0.2">
      <c r="A16"/>
      <c r="B16" s="12" t="s">
        <v>53</v>
      </c>
      <c r="C16" t="s">
        <v>69</v>
      </c>
      <c r="D16" s="5">
        <v>0</v>
      </c>
      <c r="E16" s="5"/>
      <c r="F16" s="10">
        <f>ADVMAG[[#This Row],[FX Comp 1]]+ADVMAG[[#This Row],[FX Comp 2]]</f>
        <v>0</v>
      </c>
      <c r="G16" s="6">
        <f>RANK(ADVMAG[[#This Row],[FX League Total]],ADVMAG[FX League Total], 0)</f>
        <v>11</v>
      </c>
      <c r="H16" s="5">
        <v>0</v>
      </c>
      <c r="I16" s="5"/>
      <c r="J16" s="10">
        <f>ADVMAG[[#This Row],[PH Comp 1]]+ADVMAG[[#This Row],[PH Comp 2]]</f>
        <v>0</v>
      </c>
      <c r="K16" s="6">
        <f>RANK(ADVMAG[[#This Row],[PH  League Total]],ADVMAG[PH  League Total], 0)</f>
        <v>4</v>
      </c>
      <c r="L16" s="5">
        <v>0</v>
      </c>
      <c r="M16" s="5"/>
      <c r="N16" s="10">
        <f>ADVMAG[[#This Row],[SR Comp 1]]+ADVMAG[[#This Row],[SR Comp 2]]</f>
        <v>0</v>
      </c>
      <c r="O16" s="6">
        <f>RANK(ADVMAG[[#This Row],[SR League Total]],ADVMAG[SR League Total], 0)</f>
        <v>10</v>
      </c>
      <c r="P16" s="5">
        <v>0</v>
      </c>
      <c r="Q16" s="5"/>
      <c r="R16" s="10">
        <f>ADVMAG[[#This Row],[VT Comp 1]]+ADVMAG[[#This Row],[VT Comp 2]]</f>
        <v>0</v>
      </c>
      <c r="S16" s="6">
        <f>RANK(ADVMAG[[#This Row],[VT League Total]],ADVMAG[VT League Total], 0)</f>
        <v>12</v>
      </c>
      <c r="T16" s="5">
        <v>0</v>
      </c>
      <c r="U16" s="5"/>
      <c r="V16" s="10">
        <f>ADVMAG[[#This Row],[PB Comp 1]]+ADVMAG[[#This Row],[PB Comp 2]]</f>
        <v>0</v>
      </c>
      <c r="W16" s="6">
        <f>RANK(ADVMAG[[#This Row],[PB League Total]],ADVMAG[PB League Total], 0)</f>
        <v>11</v>
      </c>
      <c r="X16" s="5">
        <v>0</v>
      </c>
      <c r="Y16" s="5"/>
      <c r="Z16" s="10">
        <f>ADVMAG[[#This Row],[HB Comp 1]]+ADVMAG[[#This Row],[HB Comp 2]]</f>
        <v>0</v>
      </c>
      <c r="AA16" s="6">
        <f>RANK(ADVMAG[[#This Row],[HB League Total]],ADVMAG[HB League Total], 0)</f>
        <v>2</v>
      </c>
      <c r="AB16" s="5">
        <v>0</v>
      </c>
      <c r="AD16" s="10">
        <f>ADVMAG[[#This Row],[AA Comp 1]]+ADVMAG[[#This Row],[AA Comp 2]]</f>
        <v>0</v>
      </c>
      <c r="AE16" s="6">
        <f>RANK(ADVMAG[[#This Row],[AA League Total]],ADVMAG[AA League Total], 0)</f>
        <v>13</v>
      </c>
    </row>
    <row r="17" spans="1:3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</sheetData>
  <conditionalFormatting sqref="G2:G16 K2:K16 O2:O16 S2:S16 W2:W16 AA2:AA16 AE2:AE16 G19:G1048576">
    <cfRule type="cellIs" dxfId="41" priority="25" operator="equal">
      <formula>3</formula>
    </cfRule>
    <cfRule type="cellIs" dxfId="40" priority="26" operator="equal">
      <formula>2</formula>
    </cfRule>
    <cfRule type="cellIs" dxfId="39" priority="27" operator="equal">
      <formula>1</formula>
    </cfRule>
  </conditionalFormatting>
  <conditionalFormatting sqref="K19:K1048576">
    <cfRule type="cellIs" dxfId="38" priority="22" operator="equal">
      <formula>3</formula>
    </cfRule>
    <cfRule type="cellIs" dxfId="37" priority="23" operator="equal">
      <formula>2</formula>
    </cfRule>
    <cfRule type="cellIs" dxfId="36" priority="24" operator="equal">
      <formula>1</formula>
    </cfRule>
  </conditionalFormatting>
  <conditionalFormatting sqref="O19:O1048576">
    <cfRule type="cellIs" dxfId="35" priority="19" operator="equal">
      <formula>3</formula>
    </cfRule>
    <cfRule type="cellIs" dxfId="34" priority="20" operator="equal">
      <formula>2</formula>
    </cfRule>
    <cfRule type="cellIs" dxfId="33" priority="21" operator="equal">
      <formula>1</formula>
    </cfRule>
  </conditionalFormatting>
  <conditionalFormatting sqref="S19:S1048576">
    <cfRule type="cellIs" dxfId="32" priority="7" operator="equal">
      <formula>3</formula>
    </cfRule>
    <cfRule type="cellIs" dxfId="31" priority="8" operator="equal">
      <formula>2</formula>
    </cfRule>
    <cfRule type="cellIs" dxfId="30" priority="9" operator="equal">
      <formula>1</formula>
    </cfRule>
  </conditionalFormatting>
  <conditionalFormatting sqref="W19:W1048576">
    <cfRule type="cellIs" dxfId="29" priority="1" operator="equal">
      <formula>3</formula>
    </cfRule>
    <cfRule type="cellIs" dxfId="28" priority="2" operator="equal">
      <formula>2</formula>
    </cfRule>
    <cfRule type="cellIs" dxfId="27" priority="3" operator="equal">
      <formula>1</formula>
    </cfRule>
  </conditionalFormatting>
  <conditionalFormatting sqref="AA19:AA1048576">
    <cfRule type="cellIs" dxfId="26" priority="16" operator="equal">
      <formula>3</formula>
    </cfRule>
    <cfRule type="cellIs" dxfId="25" priority="17" operator="equal">
      <formula>2</formula>
    </cfRule>
    <cfRule type="cellIs" dxfId="24" priority="18" operator="equal">
      <formula>1</formula>
    </cfRule>
  </conditionalFormatting>
  <conditionalFormatting sqref="AE19:AE1048576">
    <cfRule type="cellIs" dxfId="23" priority="13" operator="equal">
      <formula>3</formula>
    </cfRule>
    <cfRule type="cellIs" dxfId="22" priority="14" operator="equal">
      <formula>2</formula>
    </cfRule>
    <cfRule type="cellIs" dxfId="21" priority="15" operator="equal">
      <formula>1</formula>
    </cfRule>
  </conditionalFormatting>
  <pageMargins left="0.7" right="0.7" top="0.75" bottom="0.75" header="0.3" footer="0.3"/>
  <pageSetup paperSize="8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6A9A-40D3-4F44-80FC-6C14EF5593C6}">
  <sheetPr>
    <tabColor rgb="FF00B050"/>
  </sheetPr>
  <dimension ref="A1:AA27"/>
  <sheetViews>
    <sheetView zoomScale="138" workbookViewId="0">
      <pane xSplit="3" ySplit="1" topLeftCell="W2" activePane="bottomRight" state="frozen"/>
      <selection pane="topRight" activeCell="D1" sqref="D1"/>
      <selection pane="bottomLeft" activeCell="A2" sqref="A2"/>
      <selection pane="bottomRight" activeCell="Y18" sqref="Y18"/>
    </sheetView>
  </sheetViews>
  <sheetFormatPr baseColWidth="10" defaultColWidth="11" defaultRowHeight="16" x14ac:dyDescent="0.2"/>
  <cols>
    <col min="1" max="1" width="6.1640625" style="4" customWidth="1"/>
    <col min="2" max="2" width="23.5" style="4" customWidth="1"/>
    <col min="3" max="3" width="23.83203125" style="4" customWidth="1"/>
    <col min="4" max="4" width="13.6640625" style="4" bestFit="1" customWidth="1"/>
    <col min="5" max="16384" width="11" style="4"/>
  </cols>
  <sheetData>
    <row r="1" spans="1:27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4</v>
      </c>
      <c r="H1" s="2" t="s">
        <v>8</v>
      </c>
      <c r="I1" s="2" t="s">
        <v>9</v>
      </c>
      <c r="J1" s="3" t="s">
        <v>10</v>
      </c>
      <c r="K1" s="3" t="s">
        <v>11</v>
      </c>
      <c r="L1" s="2" t="s">
        <v>12</v>
      </c>
      <c r="M1" s="2" t="s">
        <v>13</v>
      </c>
      <c r="N1" s="3" t="s">
        <v>14</v>
      </c>
      <c r="O1" s="3" t="s">
        <v>31</v>
      </c>
      <c r="P1" s="2" t="s">
        <v>15</v>
      </c>
      <c r="Q1" s="2" t="s">
        <v>16</v>
      </c>
      <c r="R1" s="3" t="s">
        <v>17</v>
      </c>
      <c r="S1" s="3" t="s">
        <v>32</v>
      </c>
      <c r="T1" s="2" t="s">
        <v>18</v>
      </c>
      <c r="U1" s="2" t="s">
        <v>19</v>
      </c>
      <c r="V1" s="3" t="s">
        <v>20</v>
      </c>
      <c r="W1" s="3" t="s">
        <v>33</v>
      </c>
      <c r="X1" s="2" t="s">
        <v>21</v>
      </c>
      <c r="Y1" s="2" t="s">
        <v>22</v>
      </c>
      <c r="Z1" s="3" t="s">
        <v>23</v>
      </c>
      <c r="AA1" s="3" t="s">
        <v>34</v>
      </c>
    </row>
    <row r="2" spans="1:27" x14ac:dyDescent="0.2">
      <c r="A2">
        <v>95</v>
      </c>
      <c r="B2" t="s">
        <v>42</v>
      </c>
      <c r="C2" t="s">
        <v>240</v>
      </c>
      <c r="D2" s="5"/>
      <c r="E2" s="5">
        <v>85.217391304347828</v>
      </c>
      <c r="F2" s="10">
        <f>INTMAG[[#This Row],[FX Comp 1]]+INTMAG[[#This Row],[FX Comp 2]]</f>
        <v>85.217391304347828</v>
      </c>
      <c r="G2" s="6">
        <f>RANK(INTMAG[[#This Row],[FX League Total]],INTMAG[FX League Total], 0)</f>
        <v>10</v>
      </c>
      <c r="H2" s="5"/>
      <c r="I2" s="5">
        <v>93.574297188755025</v>
      </c>
      <c r="J2" s="10">
        <f>INTMAG[[#This Row],[SR Comp 1]]+INTMAG[[#This Row],[SR Comp 2]]</f>
        <v>93.574297188755025</v>
      </c>
      <c r="K2" s="6">
        <f>RANK(INTMAG[[#This Row],[SR League Total]],INTMAG[SR League Total], 0)</f>
        <v>4</v>
      </c>
      <c r="L2" s="5"/>
      <c r="M2" s="5">
        <v>96.527777777777786</v>
      </c>
      <c r="N2" s="10">
        <f>INTMAG[[#This Row],[VT Comp 1]]+INTMAG[[#This Row],[VT Comp 2]]</f>
        <v>96.527777777777786</v>
      </c>
      <c r="O2" s="6">
        <f>RANK(INTMAG[[#This Row],[VT League Total]],INTMAG[VT League Total], 0)</f>
        <v>9</v>
      </c>
      <c r="P2" s="5"/>
      <c r="Q2" s="5"/>
      <c r="R2" s="10">
        <f>INTMAG[[#This Row],[PB Comp 1]]+INTMAG[[#This Row],[PB Comp 2]]</f>
        <v>0</v>
      </c>
      <c r="S2" s="6">
        <f>RANK(INTMAG[[#This Row],[PB League Total]],INTMAG[PB League Total], 0)</f>
        <v>11</v>
      </c>
      <c r="T2" s="5"/>
      <c r="U2" s="5"/>
      <c r="V2" s="10">
        <f>INTMAG[[#This Row],[HB Comp 1]]+INTMAG[[#This Row],[HB Comp 2]]</f>
        <v>0</v>
      </c>
      <c r="W2" s="6">
        <f>RANK(INTMAG[[#This Row],[HB League Total]],INTMAG[HB League Total], 0)</f>
        <v>2</v>
      </c>
      <c r="X2" s="5"/>
      <c r="Y2" s="4">
        <v>93.026315789473685</v>
      </c>
      <c r="Z2" s="10">
        <f>INTMAG[[#This Row],[AA Comp 1]]+INTMAG[[#This Row],[AA Comp 2]]</f>
        <v>93.026315789473685</v>
      </c>
      <c r="AA2" s="6">
        <f>RANK(INTMAG[[#This Row],[AA League Total]],INTMAG[AA League Total], 0)</f>
        <v>12</v>
      </c>
    </row>
    <row r="3" spans="1:27" x14ac:dyDescent="0.2">
      <c r="A3">
        <v>96</v>
      </c>
      <c r="B3" t="s">
        <v>42</v>
      </c>
      <c r="C3" t="s">
        <v>88</v>
      </c>
      <c r="D3" s="5">
        <v>0</v>
      </c>
      <c r="E3" s="5"/>
      <c r="F3" s="10">
        <f>INTMAG[[#This Row],[FX Comp 1]]+INTMAG[[#This Row],[FX Comp 2]]</f>
        <v>0</v>
      </c>
      <c r="G3" s="6">
        <f>RANK(INTMAG[[#This Row],[FX League Total]],INTMAG[FX League Total], 0)</f>
        <v>15</v>
      </c>
      <c r="H3" s="5">
        <v>86.521739130434767</v>
      </c>
      <c r="I3" s="5"/>
      <c r="J3" s="10">
        <f>INTMAG[[#This Row],[SR Comp 1]]+INTMAG[[#This Row],[SR Comp 2]]</f>
        <v>86.521739130434767</v>
      </c>
      <c r="K3" s="6">
        <f>RANK(INTMAG[[#This Row],[SR League Total]],INTMAG[SR League Total], 0)</f>
        <v>5</v>
      </c>
      <c r="L3" s="5">
        <v>90.209790209790214</v>
      </c>
      <c r="M3" s="4">
        <v>0</v>
      </c>
      <c r="N3" s="10">
        <f>INTMAG[[#This Row],[VT Comp 1]]+INTMAG[[#This Row],[VT Comp 2]]</f>
        <v>90.209790209790214</v>
      </c>
      <c r="O3" s="6">
        <f>RANK(INTMAG[[#This Row],[VT League Total]],INTMAG[VT League Total], 0)</f>
        <v>13</v>
      </c>
      <c r="P3" s="5">
        <v>0</v>
      </c>
      <c r="Q3" s="5"/>
      <c r="R3" s="10">
        <f>INTMAG[[#This Row],[PB Comp 1]]+INTMAG[[#This Row],[PB Comp 2]]</f>
        <v>0</v>
      </c>
      <c r="S3" s="6">
        <f>RANK(INTMAG[[#This Row],[PB League Total]],INTMAG[PB League Total], 0)</f>
        <v>11</v>
      </c>
      <c r="T3" s="5">
        <v>0</v>
      </c>
      <c r="U3" s="5"/>
      <c r="V3" s="10">
        <f>INTMAG[[#This Row],[HB Comp 1]]+INTMAG[[#This Row],[HB Comp 2]]</f>
        <v>0</v>
      </c>
      <c r="W3" s="6">
        <f>RANK(INTMAG[[#This Row],[HB League Total]],INTMAG[HB League Total], 0)</f>
        <v>2</v>
      </c>
      <c r="X3" s="5">
        <v>63.649025069637879</v>
      </c>
      <c r="Y3" s="4">
        <v>0</v>
      </c>
      <c r="Z3" s="10">
        <f>INTMAG[[#This Row],[AA Comp 1]]+INTMAG[[#This Row],[AA Comp 2]]</f>
        <v>63.649025069637879</v>
      </c>
      <c r="AA3" s="6">
        <f>RANK(INTMAG[[#This Row],[AA League Total]],INTMAG[AA League Total], 0)</f>
        <v>15</v>
      </c>
    </row>
    <row r="4" spans="1:27" x14ac:dyDescent="0.2">
      <c r="A4">
        <v>97</v>
      </c>
      <c r="B4" t="s">
        <v>79</v>
      </c>
      <c r="C4" t="s">
        <v>241</v>
      </c>
      <c r="D4" s="5"/>
      <c r="E4" s="5"/>
      <c r="F4" s="10">
        <f>INTMAG[[#This Row],[FX Comp 1]]+INTMAG[[#This Row],[FX Comp 2]]</f>
        <v>0</v>
      </c>
      <c r="G4" s="6">
        <f>RANK(INTMAG[[#This Row],[FX League Total]],INTMAG[FX League Total], 0)</f>
        <v>15</v>
      </c>
      <c r="H4" s="5"/>
      <c r="I4" s="5"/>
      <c r="J4" s="10">
        <f>INTMAG[[#This Row],[SR Comp 1]]+INTMAG[[#This Row],[SR Comp 2]]</f>
        <v>0</v>
      </c>
      <c r="K4" s="6">
        <f>RANK(INTMAG[[#This Row],[SR League Total]],INTMAG[SR League Total], 0)</f>
        <v>6</v>
      </c>
      <c r="L4" s="5"/>
      <c r="M4" s="5">
        <v>0</v>
      </c>
      <c r="N4" s="10">
        <f>INTMAG[[#This Row],[VT Comp 1]]+INTMAG[[#This Row],[VT Comp 2]]</f>
        <v>0</v>
      </c>
      <c r="O4" s="6">
        <f>RANK(INTMAG[[#This Row],[VT League Total]],INTMAG[VT League Total], 0)</f>
        <v>17</v>
      </c>
      <c r="P4" s="5"/>
      <c r="Q4" s="5"/>
      <c r="R4" s="10">
        <f>INTMAG[[#This Row],[PB Comp 1]]+INTMAG[[#This Row],[PB Comp 2]]</f>
        <v>0</v>
      </c>
      <c r="S4" s="6">
        <f>RANK(INTMAG[[#This Row],[PB League Total]],INTMAG[PB League Total], 0)</f>
        <v>11</v>
      </c>
      <c r="T4" s="5"/>
      <c r="U4" s="5"/>
      <c r="V4" s="10">
        <f>INTMAG[[#This Row],[HB Comp 1]]+INTMAG[[#This Row],[HB Comp 2]]</f>
        <v>0</v>
      </c>
      <c r="W4" s="6">
        <f>RANK(INTMAG[[#This Row],[HB League Total]],INTMAG[HB League Total], 0)</f>
        <v>2</v>
      </c>
      <c r="X4" s="5"/>
      <c r="Y4" s="4">
        <v>0</v>
      </c>
      <c r="Z4" s="10">
        <f>INTMAG[[#This Row],[AA Comp 1]]+INTMAG[[#This Row],[AA Comp 2]]</f>
        <v>0</v>
      </c>
      <c r="AA4" s="6">
        <f>RANK(INTMAG[[#This Row],[AA League Total]],INTMAG[AA League Total], 0)</f>
        <v>17</v>
      </c>
    </row>
    <row r="5" spans="1:27" x14ac:dyDescent="0.2">
      <c r="A5">
        <v>98</v>
      </c>
      <c r="B5" t="s">
        <v>51</v>
      </c>
      <c r="C5" t="s">
        <v>275</v>
      </c>
      <c r="D5" s="5"/>
      <c r="E5" s="5"/>
      <c r="F5" s="10">
        <f>INTMAG[[#This Row],[FX Comp 1]]+INTMAG[[#This Row],[FX Comp 2]]</f>
        <v>0</v>
      </c>
      <c r="G5" s="6">
        <f>RANK(INTMAG[[#This Row],[FX League Total]],INTMAG[FX League Total], 0)</f>
        <v>15</v>
      </c>
      <c r="H5" s="5"/>
      <c r="I5" s="5"/>
      <c r="J5" s="10">
        <f>INTMAG[[#This Row],[SR Comp 1]]+INTMAG[[#This Row],[SR Comp 2]]</f>
        <v>0</v>
      </c>
      <c r="K5" s="6">
        <f>RANK(INTMAG[[#This Row],[SR League Total]],INTMAG[SR League Total], 0)</f>
        <v>6</v>
      </c>
      <c r="L5" s="5"/>
      <c r="M5" s="5">
        <v>0</v>
      </c>
      <c r="N5" s="10">
        <f>INTMAG[[#This Row],[VT Comp 1]]+INTMAG[[#This Row],[VT Comp 2]]</f>
        <v>0</v>
      </c>
      <c r="O5" s="6">
        <f>RANK(INTMAG[[#This Row],[VT League Total]],INTMAG[VT League Total], 0)</f>
        <v>17</v>
      </c>
      <c r="P5" s="5"/>
      <c r="Q5" s="5"/>
      <c r="R5" s="10">
        <f>INTMAG[[#This Row],[PB Comp 1]]+INTMAG[[#This Row],[PB Comp 2]]</f>
        <v>0</v>
      </c>
      <c r="S5" s="6">
        <f>RANK(INTMAG[[#This Row],[PB League Total]],INTMAG[PB League Total], 0)</f>
        <v>11</v>
      </c>
      <c r="T5" s="5"/>
      <c r="U5" s="5"/>
      <c r="V5" s="10">
        <f>INTMAG[[#This Row],[HB Comp 1]]+INTMAG[[#This Row],[HB Comp 2]]</f>
        <v>0</v>
      </c>
      <c r="W5" s="6">
        <f>RANK(INTMAG[[#This Row],[HB League Total]],INTMAG[HB League Total], 0)</f>
        <v>2</v>
      </c>
      <c r="X5" s="5"/>
      <c r="Y5" s="4">
        <v>0</v>
      </c>
      <c r="Z5" s="10">
        <f>INTMAG[[#This Row],[AA Comp 1]]+INTMAG[[#This Row],[AA Comp 2]]</f>
        <v>0</v>
      </c>
      <c r="AA5" s="6">
        <f>RANK(INTMAG[[#This Row],[AA League Total]],INTMAG[AA League Total], 0)</f>
        <v>17</v>
      </c>
    </row>
    <row r="6" spans="1:27" x14ac:dyDescent="0.2">
      <c r="A6">
        <v>99</v>
      </c>
      <c r="B6" t="s">
        <v>51</v>
      </c>
      <c r="C6" t="s">
        <v>91</v>
      </c>
      <c r="D6" s="5">
        <v>81.415929203539818</v>
      </c>
      <c r="E6" s="5">
        <v>81.739130434782609</v>
      </c>
      <c r="F6" s="10">
        <f>INTMAG[[#This Row],[FX Comp 1]]+INTMAG[[#This Row],[FX Comp 2]]</f>
        <v>163.15505963832243</v>
      </c>
      <c r="G6" s="6">
        <f>RANK(INTMAG[[#This Row],[FX League Total]],INTMAG[FX League Total], 0)</f>
        <v>5</v>
      </c>
      <c r="H6" s="5">
        <v>0</v>
      </c>
      <c r="I6" s="5"/>
      <c r="J6" s="10">
        <f>INTMAG[[#This Row],[SR Comp 1]]+INTMAG[[#This Row],[SR Comp 2]]</f>
        <v>0</v>
      </c>
      <c r="K6" s="6">
        <f>RANK(INTMAG[[#This Row],[SR League Total]],INTMAG[SR League Total], 0)</f>
        <v>6</v>
      </c>
      <c r="L6" s="5">
        <v>89.510489510489506</v>
      </c>
      <c r="M6" s="5">
        <v>87.5</v>
      </c>
      <c r="N6" s="10">
        <f>INTMAG[[#This Row],[VT Comp 1]]+INTMAG[[#This Row],[VT Comp 2]]</f>
        <v>177.01048951048949</v>
      </c>
      <c r="O6" s="6">
        <f>RANK(INTMAG[[#This Row],[VT League Total]],INTMAG[VT League Total], 0)</f>
        <v>5</v>
      </c>
      <c r="P6" s="5">
        <v>72.268907563025209</v>
      </c>
      <c r="Q6" s="5"/>
      <c r="R6" s="10">
        <f>INTMAG[[#This Row],[PB Comp 1]]+INTMAG[[#This Row],[PB Comp 2]]</f>
        <v>72.268907563025209</v>
      </c>
      <c r="S6" s="6">
        <f>RANK(INTMAG[[#This Row],[PB League Total]],INTMAG[PB League Total], 0)</f>
        <v>10</v>
      </c>
      <c r="T6" s="5">
        <v>0</v>
      </c>
      <c r="U6" s="5"/>
      <c r="V6" s="10">
        <f>INTMAG[[#This Row],[HB Comp 1]]+INTMAG[[#This Row],[HB Comp 2]]</f>
        <v>0</v>
      </c>
      <c r="W6" s="6">
        <f>RANK(INTMAG[[#This Row],[HB League Total]],INTMAG[HB League Total], 0)</f>
        <v>2</v>
      </c>
      <c r="X6" s="5">
        <v>85.236768802228397</v>
      </c>
      <c r="Y6" s="4">
        <v>57.894736842105267</v>
      </c>
      <c r="Z6" s="10">
        <f>INTMAG[[#This Row],[AA Comp 1]]+INTMAG[[#This Row],[AA Comp 2]]</f>
        <v>143.13150564433366</v>
      </c>
      <c r="AA6" s="6">
        <f>RANK(INTMAG[[#This Row],[AA League Total]],INTMAG[AA League Total], 0)</f>
        <v>6</v>
      </c>
    </row>
    <row r="7" spans="1:27" x14ac:dyDescent="0.2">
      <c r="A7">
        <v>100</v>
      </c>
      <c r="B7" t="s">
        <v>51</v>
      </c>
      <c r="C7" t="s">
        <v>92</v>
      </c>
      <c r="D7" s="5">
        <v>82.300884955752224</v>
      </c>
      <c r="E7" s="5">
        <v>84.347826086956516</v>
      </c>
      <c r="F7" s="10">
        <f>INTMAG[[#This Row],[FX Comp 1]]+INTMAG[[#This Row],[FX Comp 2]]</f>
        <v>166.64871104270873</v>
      </c>
      <c r="G7" s="6">
        <f>RANK(INTMAG[[#This Row],[FX League Total]],INTMAG[FX League Total], 0)</f>
        <v>4</v>
      </c>
      <c r="H7" s="5">
        <v>0</v>
      </c>
      <c r="I7" s="5"/>
      <c r="J7" s="10">
        <f>INTMAG[[#This Row],[SR Comp 1]]+INTMAG[[#This Row],[SR Comp 2]]</f>
        <v>0</v>
      </c>
      <c r="K7" s="6">
        <f>RANK(INTMAG[[#This Row],[SR League Total]],INTMAG[SR League Total], 0)</f>
        <v>6</v>
      </c>
      <c r="L7" s="5">
        <v>100</v>
      </c>
      <c r="M7">
        <v>97.916666666666657</v>
      </c>
      <c r="N7" s="10">
        <f>INTMAG[[#This Row],[VT Comp 1]]+INTMAG[[#This Row],[VT Comp 2]]</f>
        <v>197.91666666666666</v>
      </c>
      <c r="O7" s="6">
        <f>RANK(INTMAG[[#This Row],[VT League Total]],INTMAG[VT League Total], 0)</f>
        <v>1</v>
      </c>
      <c r="P7" s="5">
        <v>89.075630252100837</v>
      </c>
      <c r="Q7">
        <v>84.297520661157009</v>
      </c>
      <c r="R7" s="10">
        <f>INTMAG[[#This Row],[PB Comp 1]]+INTMAG[[#This Row],[PB Comp 2]]</f>
        <v>173.37315091325786</v>
      </c>
      <c r="S7" s="6">
        <f>RANK(INTMAG[[#This Row],[PB League Total]],INTMAG[PB League Total], 0)</f>
        <v>3</v>
      </c>
      <c r="T7" s="5">
        <v>0</v>
      </c>
      <c r="U7" s="5"/>
      <c r="V7" s="10">
        <f>INTMAG[[#This Row],[HB Comp 1]]+INTMAG[[#This Row],[HB Comp 2]]</f>
        <v>0</v>
      </c>
      <c r="W7" s="6">
        <f>RANK(INTMAG[[#This Row],[HB League Total]],INTMAG[HB League Total], 0)</f>
        <v>2</v>
      </c>
      <c r="X7" s="5">
        <v>95.264623955431745</v>
      </c>
      <c r="Y7" s="4">
        <v>89.473684210526315</v>
      </c>
      <c r="Z7" s="10">
        <f>INTMAG[[#This Row],[AA Comp 1]]+INTMAG[[#This Row],[AA Comp 2]]</f>
        <v>184.73830816595807</v>
      </c>
      <c r="AA7" s="6">
        <f>RANK(INTMAG[[#This Row],[AA League Total]],INTMAG[AA League Total], 0)</f>
        <v>2</v>
      </c>
    </row>
    <row r="8" spans="1:27" x14ac:dyDescent="0.2">
      <c r="A8">
        <v>101</v>
      </c>
      <c r="B8" t="s">
        <v>64</v>
      </c>
      <c r="C8" t="s">
        <v>89</v>
      </c>
      <c r="D8" s="4">
        <v>81.858407079646014</v>
      </c>
      <c r="E8" s="5">
        <v>92.173913043478265</v>
      </c>
      <c r="F8" s="10">
        <f>INTMAG[[#This Row],[FX Comp 1]]+INTMAG[[#This Row],[FX Comp 2]]</f>
        <v>174.03232012312429</v>
      </c>
      <c r="G8" s="6">
        <f>RANK(INTMAG[[#This Row],[FX League Total]],INTMAG[FX League Total], 0)</f>
        <v>3</v>
      </c>
      <c r="H8" s="5">
        <v>0</v>
      </c>
      <c r="I8" s="5"/>
      <c r="J8" s="10">
        <f>INTMAG[[#This Row],[SR Comp 1]]+INTMAG[[#This Row],[SR Comp 2]]</f>
        <v>0</v>
      </c>
      <c r="K8" s="6">
        <f>RANK(INTMAG[[#This Row],[SR League Total]],INTMAG[SR League Total], 0)</f>
        <v>6</v>
      </c>
      <c r="L8" s="5">
        <v>86.713286713286706</v>
      </c>
      <c r="M8" s="4">
        <v>87.5</v>
      </c>
      <c r="N8" s="10">
        <f>INTMAG[[#This Row],[VT Comp 1]]+INTMAG[[#This Row],[VT Comp 2]]</f>
        <v>174.21328671328672</v>
      </c>
      <c r="O8" s="6">
        <f>RANK(INTMAG[[#This Row],[VT League Total]],INTMAG[VT League Total], 0)</f>
        <v>6</v>
      </c>
      <c r="P8" s="5">
        <v>97.47899159663865</v>
      </c>
      <c r="Q8" s="4">
        <v>90.08264462809916</v>
      </c>
      <c r="R8" s="10">
        <f>INTMAG[[#This Row],[PB Comp 1]]+INTMAG[[#This Row],[PB Comp 2]]</f>
        <v>187.56163622473781</v>
      </c>
      <c r="S8" s="6">
        <f>RANK(INTMAG[[#This Row],[PB League Total]],INTMAG[PB League Total], 0)</f>
        <v>2</v>
      </c>
      <c r="T8" s="5">
        <v>0</v>
      </c>
      <c r="U8" s="5"/>
      <c r="V8" s="10">
        <f>INTMAG[[#This Row],[HB Comp 1]]+INTMAG[[#This Row],[HB Comp 2]]</f>
        <v>0</v>
      </c>
      <c r="W8" s="6">
        <f>RANK(INTMAG[[#This Row],[HB League Total]],INTMAG[HB League Total], 0)</f>
        <v>2</v>
      </c>
      <c r="X8" s="5">
        <v>92.618384401114199</v>
      </c>
      <c r="Y8" s="5">
        <v>89.736842105263165</v>
      </c>
      <c r="Z8" s="10">
        <f>INTMAG[[#This Row],[AA Comp 1]]+INTMAG[[#This Row],[AA Comp 2]]</f>
        <v>182.35522650637736</v>
      </c>
      <c r="AA8" s="6">
        <f>RANK(INTMAG[[#This Row],[AA League Total]],INTMAG[AA League Total], 0)</f>
        <v>3</v>
      </c>
    </row>
    <row r="9" spans="1:27" x14ac:dyDescent="0.2">
      <c r="A9">
        <v>102</v>
      </c>
      <c r="B9" t="s">
        <v>64</v>
      </c>
      <c r="C9" t="s">
        <v>90</v>
      </c>
      <c r="D9" s="5">
        <v>89.82300884955751</v>
      </c>
      <c r="E9" s="5">
        <v>100</v>
      </c>
      <c r="F9" s="10">
        <f>INTMAG[[#This Row],[FX Comp 1]]+INTMAG[[#This Row],[FX Comp 2]]</f>
        <v>189.82300884955751</v>
      </c>
      <c r="G9" s="6">
        <f>RANK(INTMAG[[#This Row],[FX League Total]],INTMAG[FX League Total], 0)</f>
        <v>1</v>
      </c>
      <c r="H9" s="5">
        <v>0</v>
      </c>
      <c r="I9" s="5"/>
      <c r="J9" s="10">
        <f>INTMAG[[#This Row],[SR Comp 1]]+INTMAG[[#This Row],[SR Comp 2]]</f>
        <v>0</v>
      </c>
      <c r="K9" s="6">
        <f>RANK(INTMAG[[#This Row],[SR League Total]],INTMAG[SR League Total], 0)</f>
        <v>6</v>
      </c>
      <c r="L9" s="5">
        <v>90.909090909090907</v>
      </c>
      <c r="M9">
        <v>100</v>
      </c>
      <c r="N9" s="10">
        <f>INTMAG[[#This Row],[VT Comp 1]]+INTMAG[[#This Row],[VT Comp 2]]</f>
        <v>190.90909090909091</v>
      </c>
      <c r="O9" s="6">
        <f>RANK(INTMAG[[#This Row],[VT League Total]],INTMAG[VT League Total], 0)</f>
        <v>2</v>
      </c>
      <c r="P9" s="5">
        <v>97.47899159663865</v>
      </c>
      <c r="Q9">
        <v>100</v>
      </c>
      <c r="R9" s="10">
        <f>INTMAG[[#This Row],[PB Comp 1]]+INTMAG[[#This Row],[PB Comp 2]]</f>
        <v>197.47899159663865</v>
      </c>
      <c r="S9" s="6">
        <f>RANK(INTMAG[[#This Row],[PB League Total]],INTMAG[PB League Total], 0)</f>
        <v>1</v>
      </c>
      <c r="T9" s="5">
        <v>0</v>
      </c>
      <c r="U9" s="5"/>
      <c r="V9" s="10">
        <f>INTMAG[[#This Row],[HB Comp 1]]+INTMAG[[#This Row],[HB Comp 2]]</f>
        <v>0</v>
      </c>
      <c r="W9" s="6">
        <f>RANK(INTMAG[[#This Row],[HB League Total]],INTMAG[HB League Total], 0)</f>
        <v>2</v>
      </c>
      <c r="X9" s="5">
        <v>96.796657381615574</v>
      </c>
      <c r="Y9" s="4">
        <v>100</v>
      </c>
      <c r="Z9" s="10">
        <f>INTMAG[[#This Row],[AA Comp 1]]+INTMAG[[#This Row],[AA Comp 2]]</f>
        <v>196.79665738161557</v>
      </c>
      <c r="AA9" s="6">
        <f>RANK(INTMAG[[#This Row],[AA League Total]],INTMAG[AA League Total], 0)</f>
        <v>1</v>
      </c>
    </row>
    <row r="10" spans="1:27" x14ac:dyDescent="0.2">
      <c r="A10">
        <v>103</v>
      </c>
      <c r="B10" t="s">
        <v>238</v>
      </c>
      <c r="C10" t="s">
        <v>242</v>
      </c>
      <c r="D10" s="5"/>
      <c r="E10" s="5">
        <v>93.043478260869563</v>
      </c>
      <c r="F10" s="10">
        <f>INTMAG[[#This Row],[FX Comp 1]]+INTMAG[[#This Row],[FX Comp 2]]</f>
        <v>93.043478260869563</v>
      </c>
      <c r="G10" s="6">
        <f>RANK(INTMAG[[#This Row],[FX League Total]],INTMAG[FX League Total], 0)</f>
        <v>8</v>
      </c>
      <c r="H10" s="5"/>
      <c r="I10" s="5"/>
      <c r="J10" s="10">
        <f>INTMAG[[#This Row],[SR Comp 1]]+INTMAG[[#This Row],[SR Comp 2]]</f>
        <v>0</v>
      </c>
      <c r="K10" s="6">
        <f>RANK(INTMAG[[#This Row],[SR League Total]],INTMAG[SR League Total], 0)</f>
        <v>6</v>
      </c>
      <c r="L10" s="5"/>
      <c r="M10" s="4">
        <v>92.013888888888886</v>
      </c>
      <c r="N10" s="10">
        <f>INTMAG[[#This Row],[VT Comp 1]]+INTMAG[[#This Row],[VT Comp 2]]</f>
        <v>92.013888888888886</v>
      </c>
      <c r="O10" s="6">
        <f>RANK(INTMAG[[#This Row],[VT League Total]],INTMAG[VT League Total], 0)</f>
        <v>12</v>
      </c>
      <c r="P10" s="5"/>
      <c r="Q10" s="5"/>
      <c r="R10" s="10">
        <f>INTMAG[[#This Row],[PB Comp 1]]+INTMAG[[#This Row],[PB Comp 2]]</f>
        <v>0</v>
      </c>
      <c r="S10" s="6">
        <f>RANK(INTMAG[[#This Row],[PB League Total]],INTMAG[PB League Total], 0)</f>
        <v>11</v>
      </c>
      <c r="T10" s="5"/>
      <c r="U10" s="5"/>
      <c r="V10" s="10">
        <f>INTMAG[[#This Row],[HB Comp 1]]+INTMAG[[#This Row],[HB Comp 2]]</f>
        <v>0</v>
      </c>
      <c r="W10" s="6">
        <f>RANK(INTMAG[[#This Row],[HB League Total]],INTMAG[HB League Total], 0)</f>
        <v>2</v>
      </c>
      <c r="X10" s="5"/>
      <c r="Y10" s="4">
        <v>63.026315789473685</v>
      </c>
      <c r="Z10" s="10">
        <f>INTMAG[[#This Row],[AA Comp 1]]+INTMAG[[#This Row],[AA Comp 2]]</f>
        <v>63.026315789473685</v>
      </c>
      <c r="AA10" s="6">
        <f>RANK(INTMAG[[#This Row],[AA League Total]],INTMAG[AA League Total], 0)</f>
        <v>16</v>
      </c>
    </row>
    <row r="11" spans="1:27" x14ac:dyDescent="0.2">
      <c r="A11">
        <v>104</v>
      </c>
      <c r="B11" t="s">
        <v>79</v>
      </c>
      <c r="C11" t="s">
        <v>85</v>
      </c>
      <c r="D11" s="5">
        <v>0</v>
      </c>
      <c r="E11" s="5">
        <v>82.608695652173907</v>
      </c>
      <c r="F11" s="10">
        <f>INTMAG[[#This Row],[FX Comp 1]]+INTMAG[[#This Row],[FX Comp 2]]</f>
        <v>82.608695652173907</v>
      </c>
      <c r="G11" s="6">
        <f>RANK(INTMAG[[#This Row],[FX League Total]],INTMAG[FX League Total], 0)</f>
        <v>12</v>
      </c>
      <c r="H11" s="5">
        <v>41.739130434782609</v>
      </c>
      <c r="I11" s="5">
        <v>81.52610441767068</v>
      </c>
      <c r="J11" s="10">
        <f>INTMAG[[#This Row],[SR Comp 1]]+INTMAG[[#This Row],[SR Comp 2]]</f>
        <v>123.26523485245329</v>
      </c>
      <c r="K11" s="6">
        <f>RANK(INTMAG[[#This Row],[SR League Total]],INTMAG[SR League Total], 0)</f>
        <v>1</v>
      </c>
      <c r="L11" s="5">
        <v>0</v>
      </c>
      <c r="M11" s="5">
        <v>87.847222222222214</v>
      </c>
      <c r="N11" s="10">
        <f>INTMAG[[#This Row],[VT Comp 1]]+INTMAG[[#This Row],[VT Comp 2]]</f>
        <v>87.847222222222214</v>
      </c>
      <c r="O11" s="6">
        <f>RANK(INTMAG[[#This Row],[VT League Total]],INTMAG[VT League Total], 0)</f>
        <v>14</v>
      </c>
      <c r="P11" s="5">
        <v>0</v>
      </c>
      <c r="Q11" s="5"/>
      <c r="R11" s="10">
        <f>INTMAG[[#This Row],[PB Comp 1]]+INTMAG[[#This Row],[PB Comp 2]]</f>
        <v>0</v>
      </c>
      <c r="S11" s="6">
        <f>RANK(INTMAG[[#This Row],[PB League Total]],INTMAG[PB League Total], 0)</f>
        <v>11</v>
      </c>
      <c r="T11" s="5">
        <v>0</v>
      </c>
      <c r="U11" s="5"/>
      <c r="V11" s="10">
        <f>INTMAG[[#This Row],[HB Comp 1]]+INTMAG[[#This Row],[HB Comp 2]]</f>
        <v>0</v>
      </c>
      <c r="W11" s="6">
        <f>RANK(INTMAG[[#This Row],[HB League Total]],INTMAG[HB League Total], 0)</f>
        <v>2</v>
      </c>
      <c r="X11" s="5">
        <v>13.370473537604454</v>
      </c>
      <c r="Y11" s="4">
        <v>85</v>
      </c>
      <c r="Z11" s="10">
        <f>INTMAG[[#This Row],[AA Comp 1]]+INTMAG[[#This Row],[AA Comp 2]]</f>
        <v>98.370473537604454</v>
      </c>
      <c r="AA11" s="6">
        <f>RANK(INTMAG[[#This Row],[AA League Total]],INTMAG[AA League Total], 0)</f>
        <v>8</v>
      </c>
    </row>
    <row r="12" spans="1:27" x14ac:dyDescent="0.2">
      <c r="A12">
        <v>105</v>
      </c>
      <c r="B12" t="s">
        <v>79</v>
      </c>
      <c r="C12" t="s">
        <v>84</v>
      </c>
      <c r="D12" s="5">
        <v>69.469026548672559</v>
      </c>
      <c r="E12" s="5"/>
      <c r="F12" s="10">
        <f>INTMAG[[#This Row],[FX Comp 1]]+INTMAG[[#This Row],[FX Comp 2]]</f>
        <v>69.469026548672559</v>
      </c>
      <c r="G12" s="6">
        <f>RANK(INTMAG[[#This Row],[FX League Total]],INTMAG[FX League Total], 0)</f>
        <v>14</v>
      </c>
      <c r="H12" s="5">
        <v>0</v>
      </c>
      <c r="I12" s="5"/>
      <c r="J12" s="10">
        <f>INTMAG[[#This Row],[SR Comp 1]]+INTMAG[[#This Row],[SR Comp 2]]</f>
        <v>0</v>
      </c>
      <c r="K12" s="6">
        <f>RANK(INTMAG[[#This Row],[SR League Total]],INTMAG[SR League Total], 0)</f>
        <v>6</v>
      </c>
      <c r="L12" s="5">
        <v>100</v>
      </c>
      <c r="M12" s="5">
        <v>0</v>
      </c>
      <c r="N12" s="10">
        <f>INTMAG[[#This Row],[VT Comp 1]]+INTMAG[[#This Row],[VT Comp 2]]</f>
        <v>100</v>
      </c>
      <c r="O12" s="6">
        <f>RANK(INTMAG[[#This Row],[VT League Total]],INTMAG[VT League Total], 0)</f>
        <v>7</v>
      </c>
      <c r="P12" s="5">
        <v>0</v>
      </c>
      <c r="Q12" s="5"/>
      <c r="R12" s="10">
        <f>INTMAG[[#This Row],[PB Comp 1]]+INTMAG[[#This Row],[PB Comp 2]]</f>
        <v>0</v>
      </c>
      <c r="S12" s="6">
        <f>RANK(INTMAG[[#This Row],[PB League Total]],INTMAG[PB League Total], 0)</f>
        <v>11</v>
      </c>
      <c r="T12" s="5">
        <v>100</v>
      </c>
      <c r="U12" s="5"/>
      <c r="V12" s="10">
        <f>INTMAG[[#This Row],[HB Comp 1]]+INTMAG[[#This Row],[HB Comp 2]]</f>
        <v>100</v>
      </c>
      <c r="W12" s="6">
        <f>RANK(INTMAG[[#This Row],[HB League Total]],INTMAG[HB League Total], 0)</f>
        <v>1</v>
      </c>
      <c r="X12" s="5">
        <v>88.440111420612794</v>
      </c>
      <c r="Y12" s="5">
        <v>0</v>
      </c>
      <c r="Z12" s="10">
        <f>INTMAG[[#This Row],[AA Comp 1]]+INTMAG[[#This Row],[AA Comp 2]]</f>
        <v>88.440111420612794</v>
      </c>
      <c r="AA12" s="6">
        <f>RANK(INTMAG[[#This Row],[AA League Total]],INTMAG[AA League Total], 0)</f>
        <v>13</v>
      </c>
    </row>
    <row r="13" spans="1:27" x14ac:dyDescent="0.2">
      <c r="A13">
        <v>106</v>
      </c>
      <c r="B13" t="s">
        <v>52</v>
      </c>
      <c r="C13" t="s">
        <v>83</v>
      </c>
      <c r="D13" s="5">
        <v>82.743362831858406</v>
      </c>
      <c r="E13" s="5">
        <v>95.652173913043484</v>
      </c>
      <c r="F13" s="10">
        <f>INTMAG[[#This Row],[FX Comp 1]]+INTMAG[[#This Row],[FX Comp 2]]</f>
        <v>178.3955367449019</v>
      </c>
      <c r="G13" s="6">
        <f>RANK(INTMAG[[#This Row],[FX League Total]],INTMAG[FX League Total], 0)</f>
        <v>2</v>
      </c>
      <c r="H13" s="5">
        <v>0</v>
      </c>
      <c r="I13" s="5"/>
      <c r="J13" s="10">
        <f>INTMAG[[#This Row],[SR Comp 1]]+INTMAG[[#This Row],[SR Comp 2]]</f>
        <v>0</v>
      </c>
      <c r="K13" s="6">
        <f>RANK(INTMAG[[#This Row],[SR League Total]],INTMAG[SR League Total], 0)</f>
        <v>6</v>
      </c>
      <c r="L13" s="5">
        <v>87.412587412587399</v>
      </c>
      <c r="M13" s="4">
        <v>95.4861111111111</v>
      </c>
      <c r="N13" s="10">
        <f>INTMAG[[#This Row],[VT Comp 1]]+INTMAG[[#This Row],[VT Comp 2]]</f>
        <v>182.8986985236985</v>
      </c>
      <c r="O13" s="6">
        <f>RANK(INTMAG[[#This Row],[VT League Total]],INTMAG[VT League Total], 0)</f>
        <v>3</v>
      </c>
      <c r="P13" s="5">
        <v>73.109243697478988</v>
      </c>
      <c r="Q13" s="4">
        <v>62.809917355371894</v>
      </c>
      <c r="R13" s="10">
        <f>INTMAG[[#This Row],[PB Comp 1]]+INTMAG[[#This Row],[PB Comp 2]]</f>
        <v>135.91916105285088</v>
      </c>
      <c r="S13" s="6">
        <f>RANK(INTMAG[[#This Row],[PB League Total]],INTMAG[PB League Total], 0)</f>
        <v>4</v>
      </c>
      <c r="T13" s="5">
        <v>0</v>
      </c>
      <c r="U13" s="5"/>
      <c r="V13" s="10">
        <f>INTMAG[[#This Row],[HB Comp 1]]+INTMAG[[#This Row],[HB Comp 2]]</f>
        <v>0</v>
      </c>
      <c r="W13" s="6">
        <f>RANK(INTMAG[[#This Row],[HB League Total]],INTMAG[HB League Total], 0)</f>
        <v>2</v>
      </c>
      <c r="X13" s="5">
        <v>85.097493036211688</v>
      </c>
      <c r="Y13" s="4">
        <v>85.131578947368425</v>
      </c>
      <c r="Z13" s="10">
        <f>INTMAG[[#This Row],[AA Comp 1]]+INTMAG[[#This Row],[AA Comp 2]]</f>
        <v>170.22907198358013</v>
      </c>
      <c r="AA13" s="6">
        <f>RANK(INTMAG[[#This Row],[AA League Total]],INTMAG[AA League Total], 0)</f>
        <v>5</v>
      </c>
    </row>
    <row r="14" spans="1:27" x14ac:dyDescent="0.2">
      <c r="A14">
        <v>107</v>
      </c>
      <c r="B14" t="s">
        <v>52</v>
      </c>
      <c r="C14" t="s">
        <v>82</v>
      </c>
      <c r="D14" s="5">
        <v>53.097345132743357</v>
      </c>
      <c r="E14" s="5">
        <v>93.913043478260875</v>
      </c>
      <c r="F14" s="10">
        <f>INTMAG[[#This Row],[FX Comp 1]]+INTMAG[[#This Row],[FX Comp 2]]</f>
        <v>147.01038861100423</v>
      </c>
      <c r="G14" s="6">
        <f>RANK(INTMAG[[#This Row],[FX League Total]],INTMAG[FX League Total], 0)</f>
        <v>6</v>
      </c>
      <c r="H14" s="5">
        <v>0</v>
      </c>
      <c r="I14" s="5">
        <v>100</v>
      </c>
      <c r="J14" s="10">
        <f>INTMAG[[#This Row],[SR Comp 1]]+INTMAG[[#This Row],[SR Comp 2]]</f>
        <v>100</v>
      </c>
      <c r="K14" s="6">
        <f>RANK(INTMAG[[#This Row],[SR League Total]],INTMAG[SR League Total], 0)</f>
        <v>2</v>
      </c>
      <c r="L14" s="5">
        <v>93.706293706293707</v>
      </c>
      <c r="M14" s="4">
        <v>87.847222222222214</v>
      </c>
      <c r="N14" s="10">
        <f>INTMAG[[#This Row],[VT Comp 1]]+INTMAG[[#This Row],[VT Comp 2]]</f>
        <v>181.55351592851594</v>
      </c>
      <c r="O14" s="6">
        <f>RANK(INTMAG[[#This Row],[VT League Total]],INTMAG[VT League Total], 0)</f>
        <v>4</v>
      </c>
      <c r="P14" s="5">
        <v>94.957983193277315</v>
      </c>
      <c r="Q14" s="5"/>
      <c r="R14" s="10">
        <f>INTMAG[[#This Row],[PB Comp 1]]+INTMAG[[#This Row],[PB Comp 2]]</f>
        <v>94.957983193277315</v>
      </c>
      <c r="S14" s="6">
        <f>RANK(INTMAG[[#This Row],[PB League Total]],INTMAG[PB League Total], 0)</f>
        <v>8</v>
      </c>
      <c r="T14" s="5">
        <v>0</v>
      </c>
      <c r="U14" s="5"/>
      <c r="V14" s="10">
        <f>INTMAG[[#This Row],[HB Comp 1]]+INTMAG[[#This Row],[HB Comp 2]]</f>
        <v>0</v>
      </c>
      <c r="W14" s="6">
        <f>RANK(INTMAG[[#This Row],[HB League Total]],INTMAG[HB League Total], 0)</f>
        <v>2</v>
      </c>
      <c r="X14" s="5">
        <v>85.51532033426183</v>
      </c>
      <c r="Y14" s="4">
        <v>94.473684210526315</v>
      </c>
      <c r="Z14" s="10">
        <f>INTMAG[[#This Row],[AA Comp 1]]+INTMAG[[#This Row],[AA Comp 2]]</f>
        <v>179.98900454478814</v>
      </c>
      <c r="AA14" s="6">
        <f>RANK(INTMAG[[#This Row],[AA League Total]],INTMAG[AA League Total], 0)</f>
        <v>4</v>
      </c>
    </row>
    <row r="15" spans="1:27" x14ac:dyDescent="0.2">
      <c r="A15" t="s">
        <v>41</v>
      </c>
      <c r="B15" t="s">
        <v>50</v>
      </c>
      <c r="C15" t="s">
        <v>94</v>
      </c>
      <c r="D15" s="5">
        <v>0</v>
      </c>
      <c r="E15" s="5"/>
      <c r="F15" s="10">
        <f>INTMAG[[#This Row],[FX Comp 1]]+INTMAG[[#This Row],[FX Comp 2]]</f>
        <v>0</v>
      </c>
      <c r="G15" s="6">
        <f>RANK(INTMAG[[#This Row],[FX League Total]],INTMAG[FX League Total], 0)</f>
        <v>15</v>
      </c>
      <c r="H15" s="5">
        <v>0</v>
      </c>
      <c r="I15" s="5"/>
      <c r="J15" s="10">
        <f>INTMAG[[#This Row],[SR Comp 1]]+INTMAG[[#This Row],[SR Comp 2]]</f>
        <v>0</v>
      </c>
      <c r="K15" s="6">
        <f>RANK(INTMAG[[#This Row],[SR League Total]],INTMAG[SR League Total], 0)</f>
        <v>6</v>
      </c>
      <c r="L15" s="5">
        <v>83.216783216783213</v>
      </c>
      <c r="M15" s="5"/>
      <c r="N15" s="10">
        <f>INTMAG[[#This Row],[VT Comp 1]]+INTMAG[[#This Row],[VT Comp 2]]</f>
        <v>83.216783216783213</v>
      </c>
      <c r="O15" s="6">
        <f>RANK(INTMAG[[#This Row],[VT League Total]],INTMAG[VT League Total], 0)</f>
        <v>16</v>
      </c>
      <c r="P15" s="5">
        <v>100</v>
      </c>
      <c r="Q15" s="5"/>
      <c r="R15" s="10">
        <f>INTMAG[[#This Row],[PB Comp 1]]+INTMAG[[#This Row],[PB Comp 2]]</f>
        <v>100</v>
      </c>
      <c r="S15" s="6">
        <f>RANK(INTMAG[[#This Row],[PB League Total]],INTMAG[PB League Total], 0)</f>
        <v>5</v>
      </c>
      <c r="T15" s="5">
        <v>0</v>
      </c>
      <c r="U15" s="5"/>
      <c r="V15" s="10">
        <f>INTMAG[[#This Row],[HB Comp 1]]+INTMAG[[#This Row],[HB Comp 2]]</f>
        <v>0</v>
      </c>
      <c r="W15" s="6">
        <f>RANK(INTMAG[[#This Row],[HB League Total]],INTMAG[HB League Total], 0)</f>
        <v>2</v>
      </c>
      <c r="X15" s="5">
        <v>66.295264623955418</v>
      </c>
      <c r="Z15" s="10">
        <f>INTMAG[[#This Row],[AA Comp 1]]+INTMAG[[#This Row],[AA Comp 2]]</f>
        <v>66.295264623955418</v>
      </c>
      <c r="AA15" s="6">
        <f>RANK(INTMAG[[#This Row],[AA League Total]],INTMAG[AA League Total], 0)</f>
        <v>14</v>
      </c>
    </row>
    <row r="16" spans="1:27" x14ac:dyDescent="0.2">
      <c r="A16"/>
      <c r="B16" t="s">
        <v>42</v>
      </c>
      <c r="C16" t="s">
        <v>87</v>
      </c>
      <c r="D16" s="5">
        <v>76.106194690265482</v>
      </c>
      <c r="E16" s="5"/>
      <c r="F16" s="10">
        <f>INTMAG[[#This Row],[FX Comp 1]]+INTMAG[[#This Row],[FX Comp 2]]</f>
        <v>76.106194690265482</v>
      </c>
      <c r="G16" s="6">
        <f>RANK(INTMAG[[#This Row],[FX League Total]],INTMAG[FX League Total], 0)</f>
        <v>13</v>
      </c>
      <c r="H16" s="5">
        <v>0</v>
      </c>
      <c r="I16" s="5"/>
      <c r="J16" s="10">
        <f>INTMAG[[#This Row],[SR Comp 1]]+INTMAG[[#This Row],[SR Comp 2]]</f>
        <v>0</v>
      </c>
      <c r="K16" s="6">
        <f>RANK(INTMAG[[#This Row],[SR League Total]],INTMAG[SR League Total], 0)</f>
        <v>6</v>
      </c>
      <c r="L16" s="5">
        <v>97.902097902097893</v>
      </c>
      <c r="M16" s="5"/>
      <c r="N16" s="10">
        <f>INTMAG[[#This Row],[VT Comp 1]]+INTMAG[[#This Row],[VT Comp 2]]</f>
        <v>97.902097902097893</v>
      </c>
      <c r="O16" s="6">
        <f>RANK(INTMAG[[#This Row],[VT League Total]],INTMAG[VT League Total], 0)</f>
        <v>8</v>
      </c>
      <c r="P16" s="5">
        <v>96.638655462184872</v>
      </c>
      <c r="Q16" s="5"/>
      <c r="R16" s="10">
        <f>INTMAG[[#This Row],[PB Comp 1]]+INTMAG[[#This Row],[PB Comp 2]]</f>
        <v>96.638655462184872</v>
      </c>
      <c r="S16" s="6">
        <f>RANK(INTMAG[[#This Row],[PB League Total]],INTMAG[PB League Total], 0)</f>
        <v>7</v>
      </c>
      <c r="T16" s="5">
        <v>0</v>
      </c>
      <c r="U16" s="5"/>
      <c r="V16" s="10">
        <f>INTMAG[[#This Row],[HB Comp 1]]+INTMAG[[#This Row],[HB Comp 2]]</f>
        <v>0</v>
      </c>
      <c r="W16" s="6">
        <f>RANK(INTMAG[[#This Row],[HB League Total]],INTMAG[HB League Total], 0)</f>
        <v>2</v>
      </c>
      <c r="X16" s="5">
        <v>94.986072423398312</v>
      </c>
      <c r="Z16" s="10">
        <f>INTMAG[[#This Row],[AA Comp 1]]+INTMAG[[#This Row],[AA Comp 2]]</f>
        <v>94.986072423398312</v>
      </c>
      <c r="AA16" s="6">
        <f>RANK(INTMAG[[#This Row],[AA League Total]],INTMAG[AA League Total], 0)</f>
        <v>9</v>
      </c>
    </row>
    <row r="17" spans="1:27" x14ac:dyDescent="0.2">
      <c r="A17"/>
      <c r="B17" t="s">
        <v>42</v>
      </c>
      <c r="C17" t="s">
        <v>86</v>
      </c>
      <c r="D17" s="5">
        <v>83.185840707964601</v>
      </c>
      <c r="E17" s="5"/>
      <c r="F17" s="10">
        <f>INTMAG[[#This Row],[FX Comp 1]]+INTMAG[[#This Row],[FX Comp 2]]</f>
        <v>83.185840707964601</v>
      </c>
      <c r="G17" s="6">
        <f>RANK(INTMAG[[#This Row],[FX League Total]],INTMAG[FX League Total], 0)</f>
        <v>11</v>
      </c>
      <c r="H17" s="5">
        <v>100</v>
      </c>
      <c r="I17" s="5"/>
      <c r="J17" s="10">
        <f>INTMAG[[#This Row],[SR Comp 1]]+INTMAG[[#This Row],[SR Comp 2]]</f>
        <v>100</v>
      </c>
      <c r="K17" s="6">
        <f>RANK(INTMAG[[#This Row],[SR League Total]],INTMAG[SR League Total], 0)</f>
        <v>2</v>
      </c>
      <c r="L17" s="5">
        <v>92.307692307692307</v>
      </c>
      <c r="M17" s="5"/>
      <c r="N17" s="10">
        <f>INTMAG[[#This Row],[VT Comp 1]]+INTMAG[[#This Row],[VT Comp 2]]</f>
        <v>92.307692307692307</v>
      </c>
      <c r="O17" s="6">
        <f>RANK(INTMAG[[#This Row],[VT League Total]],INTMAG[VT League Total], 0)</f>
        <v>11</v>
      </c>
      <c r="P17" s="5">
        <v>0</v>
      </c>
      <c r="Q17" s="5"/>
      <c r="R17" s="10">
        <f>INTMAG[[#This Row],[PB Comp 1]]+INTMAG[[#This Row],[PB Comp 2]]</f>
        <v>0</v>
      </c>
      <c r="S17" s="6">
        <f>RANK(INTMAG[[#This Row],[PB League Total]],INTMAG[PB League Total], 0)</f>
        <v>11</v>
      </c>
      <c r="T17" s="5">
        <v>0</v>
      </c>
      <c r="U17" s="5"/>
      <c r="V17" s="10">
        <f>INTMAG[[#This Row],[HB Comp 1]]+INTMAG[[#This Row],[HB Comp 2]]</f>
        <v>0</v>
      </c>
      <c r="W17" s="6">
        <f>RANK(INTMAG[[#This Row],[HB League Total]],INTMAG[HB League Total], 0)</f>
        <v>2</v>
      </c>
      <c r="X17" s="5">
        <v>94.986072423398298</v>
      </c>
      <c r="Z17" s="10">
        <f>INTMAG[[#This Row],[AA Comp 1]]+INTMAG[[#This Row],[AA Comp 2]]</f>
        <v>94.986072423398298</v>
      </c>
      <c r="AA17" s="6">
        <f>RANK(INTMAG[[#This Row],[AA League Total]],INTMAG[AA League Total], 0)</f>
        <v>10</v>
      </c>
    </row>
    <row r="18" spans="1:27" x14ac:dyDescent="0.2">
      <c r="A18"/>
      <c r="B18" t="s">
        <v>78</v>
      </c>
      <c r="C18" t="s">
        <v>80</v>
      </c>
      <c r="D18" s="5">
        <v>100</v>
      </c>
      <c r="E18" s="5"/>
      <c r="F18" s="10">
        <f>INTMAG[[#This Row],[FX Comp 1]]+INTMAG[[#This Row],[FX Comp 2]]</f>
        <v>100</v>
      </c>
      <c r="G18" s="6">
        <f>RANK(INTMAG[[#This Row],[FX League Total]],INTMAG[FX League Total], 0)</f>
        <v>7</v>
      </c>
      <c r="H18" s="5">
        <v>0</v>
      </c>
      <c r="I18" s="5"/>
      <c r="J18" s="10">
        <f>INTMAG[[#This Row],[SR Comp 1]]+INTMAG[[#This Row],[SR Comp 2]]</f>
        <v>0</v>
      </c>
      <c r="K18" s="6">
        <f>RANK(INTMAG[[#This Row],[SR League Total]],INTMAG[SR League Total], 0)</f>
        <v>6</v>
      </c>
      <c r="L18" s="5">
        <v>85.314685314685306</v>
      </c>
      <c r="M18" s="5"/>
      <c r="N18" s="10">
        <f>INTMAG[[#This Row],[VT Comp 1]]+INTMAG[[#This Row],[VT Comp 2]]</f>
        <v>85.314685314685306</v>
      </c>
      <c r="O18" s="6">
        <f>RANK(INTMAG[[#This Row],[VT League Total]],INTMAG[VT League Total], 0)</f>
        <v>15</v>
      </c>
      <c r="P18" s="5">
        <v>84.87394957983193</v>
      </c>
      <c r="Q18" s="5"/>
      <c r="R18" s="10">
        <f>INTMAG[[#This Row],[PB Comp 1]]+INTMAG[[#This Row],[PB Comp 2]]</f>
        <v>84.87394957983193</v>
      </c>
      <c r="S18" s="6">
        <f>RANK(INTMAG[[#This Row],[PB League Total]],INTMAG[PB League Total], 0)</f>
        <v>9</v>
      </c>
      <c r="T18" s="5">
        <v>0</v>
      </c>
      <c r="U18" s="5"/>
      <c r="V18" s="10">
        <f>INTMAG[[#This Row],[HB Comp 1]]+INTMAG[[#This Row],[HB Comp 2]]</f>
        <v>0</v>
      </c>
      <c r="W18" s="6">
        <f>RANK(INTMAG[[#This Row],[HB League Total]],INTMAG[HB League Total], 0)</f>
        <v>2</v>
      </c>
      <c r="X18" s="5">
        <v>93.593314763231177</v>
      </c>
      <c r="Z18" s="10">
        <f>INTMAG[[#This Row],[AA Comp 1]]+INTMAG[[#This Row],[AA Comp 2]]</f>
        <v>93.593314763231177</v>
      </c>
      <c r="AA18" s="6">
        <f>RANK(INTMAG[[#This Row],[AA League Total]],INTMAG[AA League Total], 0)</f>
        <v>11</v>
      </c>
    </row>
    <row r="19" spans="1:27" x14ac:dyDescent="0.2">
      <c r="A19"/>
      <c r="B19" t="s">
        <v>51</v>
      </c>
      <c r="C19" t="s">
        <v>93</v>
      </c>
      <c r="D19" s="5">
        <v>0</v>
      </c>
      <c r="E19" s="5"/>
      <c r="F19" s="10">
        <f>INTMAG[[#This Row],[FX Comp 1]]+INTMAG[[#This Row],[FX Comp 2]]</f>
        <v>0</v>
      </c>
      <c r="G19" s="6">
        <f>RANK(INTMAG[[#This Row],[FX League Total]],INTMAG[FX League Total], 0)</f>
        <v>15</v>
      </c>
      <c r="H19" s="5">
        <v>0</v>
      </c>
      <c r="I19" s="5"/>
      <c r="J19" s="10">
        <f>INTMAG[[#This Row],[SR Comp 1]]+INTMAG[[#This Row],[SR Comp 2]]</f>
        <v>0</v>
      </c>
      <c r="K19" s="6">
        <f>RANK(INTMAG[[#This Row],[SR League Total]],INTMAG[SR League Total], 0)</f>
        <v>6</v>
      </c>
      <c r="L19" s="5">
        <v>0</v>
      </c>
      <c r="M19" s="5"/>
      <c r="N19" s="10">
        <f>INTMAG[[#This Row],[VT Comp 1]]+INTMAG[[#This Row],[VT Comp 2]]</f>
        <v>0</v>
      </c>
      <c r="O19" s="6">
        <f>RANK(INTMAG[[#This Row],[VT League Total]],INTMAG[VT League Total], 0)</f>
        <v>17</v>
      </c>
      <c r="P19" s="5">
        <v>0</v>
      </c>
      <c r="Q19" s="5"/>
      <c r="R19" s="10">
        <f>INTMAG[[#This Row],[PB Comp 1]]+INTMAG[[#This Row],[PB Comp 2]]</f>
        <v>0</v>
      </c>
      <c r="S19" s="6">
        <f>RANK(INTMAG[[#This Row],[PB League Total]],INTMAG[PB League Total], 0)</f>
        <v>11</v>
      </c>
      <c r="T19" s="5">
        <v>0</v>
      </c>
      <c r="U19" s="5"/>
      <c r="V19" s="10">
        <f>INTMAG[[#This Row],[HB Comp 1]]+INTMAG[[#This Row],[HB Comp 2]]</f>
        <v>0</v>
      </c>
      <c r="W19" s="6">
        <f>RANK(INTMAG[[#This Row],[HB League Total]],INTMAG[HB League Total], 0)</f>
        <v>2</v>
      </c>
      <c r="X19" s="5">
        <v>0</v>
      </c>
      <c r="Z19" s="10">
        <f>INTMAG[[#This Row],[AA Comp 1]]+INTMAG[[#This Row],[AA Comp 2]]</f>
        <v>0</v>
      </c>
      <c r="AA19" s="6">
        <f>RANK(INTMAG[[#This Row],[AA League Total]],INTMAG[AA League Total], 0)</f>
        <v>17</v>
      </c>
    </row>
    <row r="20" spans="1:27" x14ac:dyDescent="0.2">
      <c r="B20" t="s">
        <v>50</v>
      </c>
      <c r="C20" t="s">
        <v>95</v>
      </c>
      <c r="D20" s="5">
        <v>0</v>
      </c>
      <c r="E20" s="5"/>
      <c r="F20" s="10">
        <f>INTMAG[[#This Row],[FX Comp 1]]+INTMAG[[#This Row],[FX Comp 2]]</f>
        <v>0</v>
      </c>
      <c r="G20" s="6">
        <f>RANK(INTMAG[[#This Row],[FX League Total]],INTMAG[FX League Total], 0)</f>
        <v>15</v>
      </c>
      <c r="H20" s="5">
        <v>0</v>
      </c>
      <c r="I20" s="5"/>
      <c r="J20" s="10">
        <f>INTMAG[[#This Row],[SR Comp 1]]+INTMAG[[#This Row],[SR Comp 2]]</f>
        <v>0</v>
      </c>
      <c r="K20" s="6">
        <f>RANK(INTMAG[[#This Row],[SR League Total]],INTMAG[SR League Total], 0)</f>
        <v>6</v>
      </c>
      <c r="L20" s="5">
        <v>0</v>
      </c>
      <c r="M20" s="5"/>
      <c r="N20" s="10">
        <f>INTMAG[[#This Row],[VT Comp 1]]+INTMAG[[#This Row],[VT Comp 2]]</f>
        <v>0</v>
      </c>
      <c r="O20" s="6">
        <f>RANK(INTMAG[[#This Row],[VT League Total]],INTMAG[VT League Total], 0)</f>
        <v>17</v>
      </c>
      <c r="P20" s="5">
        <v>0</v>
      </c>
      <c r="Q20" s="5"/>
      <c r="R20" s="10">
        <f>INTMAG[[#This Row],[PB Comp 1]]+INTMAG[[#This Row],[PB Comp 2]]</f>
        <v>0</v>
      </c>
      <c r="S20" s="6">
        <f>RANK(INTMAG[[#This Row],[PB League Total]],INTMAG[PB League Total], 0)</f>
        <v>11</v>
      </c>
      <c r="T20" s="5">
        <v>0</v>
      </c>
      <c r="U20" s="5"/>
      <c r="V20" s="10">
        <f>INTMAG[[#This Row],[HB Comp 1]]+INTMAG[[#This Row],[HB Comp 2]]</f>
        <v>0</v>
      </c>
      <c r="W20" s="6">
        <f>RANK(INTMAG[[#This Row],[HB League Total]],INTMAG[HB League Total], 0)</f>
        <v>2</v>
      </c>
      <c r="X20" s="5">
        <v>0</v>
      </c>
      <c r="Z20" s="10">
        <f>INTMAG[[#This Row],[AA Comp 1]]+INTMAG[[#This Row],[AA Comp 2]]</f>
        <v>0</v>
      </c>
      <c r="AA20" s="6">
        <f>RANK(INTMAG[[#This Row],[AA League Total]],INTMAG[AA League Total], 0)</f>
        <v>17</v>
      </c>
    </row>
    <row r="21" spans="1:27" x14ac:dyDescent="0.2">
      <c r="A21"/>
      <c r="B21" t="s">
        <v>52</v>
      </c>
      <c r="C21" t="s">
        <v>81</v>
      </c>
      <c r="D21" s="5">
        <v>92.920353982300867</v>
      </c>
      <c r="E21" s="5"/>
      <c r="F21" s="10">
        <f>INTMAG[[#This Row],[FX Comp 1]]+INTMAG[[#This Row],[FX Comp 2]]</f>
        <v>92.920353982300867</v>
      </c>
      <c r="G21" s="6">
        <f>RANK(INTMAG[[#This Row],[FX League Total]],INTMAG[FX League Total], 0)</f>
        <v>9</v>
      </c>
      <c r="H21" s="5">
        <v>0</v>
      </c>
      <c r="I21" s="5"/>
      <c r="J21" s="10">
        <f>INTMAG[[#This Row],[SR Comp 1]]+INTMAG[[#This Row],[SR Comp 2]]</f>
        <v>0</v>
      </c>
      <c r="K21" s="6">
        <f>RANK(INTMAG[[#This Row],[SR League Total]],INTMAG[SR League Total], 0)</f>
        <v>6</v>
      </c>
      <c r="L21" s="5">
        <v>95.104895104895093</v>
      </c>
      <c r="M21" s="5"/>
      <c r="N21" s="10">
        <f>INTMAG[[#This Row],[VT Comp 1]]+INTMAG[[#This Row],[VT Comp 2]]</f>
        <v>95.104895104895093</v>
      </c>
      <c r="O21" s="6">
        <f>RANK(INTMAG[[#This Row],[VT League Total]],INTMAG[VT League Total], 0)</f>
        <v>10</v>
      </c>
      <c r="P21" s="5">
        <v>99.159663865546221</v>
      </c>
      <c r="Q21" s="5"/>
      <c r="R21" s="10">
        <f>INTMAG[[#This Row],[PB Comp 1]]+INTMAG[[#This Row],[PB Comp 2]]</f>
        <v>99.159663865546221</v>
      </c>
      <c r="S21" s="6">
        <f>RANK(INTMAG[[#This Row],[PB League Total]],INTMAG[PB League Total], 0)</f>
        <v>6</v>
      </c>
      <c r="T21" s="5">
        <v>0</v>
      </c>
      <c r="U21" s="5"/>
      <c r="V21" s="10">
        <f>INTMAG[[#This Row],[HB Comp 1]]+INTMAG[[#This Row],[HB Comp 2]]</f>
        <v>0</v>
      </c>
      <c r="W21" s="6">
        <f>RANK(INTMAG[[#This Row],[HB League Total]],INTMAG[HB League Total], 0)</f>
        <v>2</v>
      </c>
      <c r="X21" s="5">
        <v>100</v>
      </c>
      <c r="Z21" s="10">
        <f>INTMAG[[#This Row],[AA Comp 1]]+INTMAG[[#This Row],[AA Comp 2]]</f>
        <v>100</v>
      </c>
      <c r="AA21" s="6">
        <f>RANK(INTMAG[[#This Row],[AA League Total]],INTMAG[AA League Total], 0)</f>
        <v>7</v>
      </c>
    </row>
    <row r="22" spans="1:2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2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</row>
    <row r="27" spans="1:2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</row>
  </sheetData>
  <conditionalFormatting sqref="G2:G21 K2:K21 O2:O21 S2:S21 W2:W21 AA2:AA21 G28:G1048576 K28:K1048576 O28:O1048576 S28:S1048576 W28:W1048576 AA28:AA1048576">
    <cfRule type="cellIs" dxfId="20" priority="25" operator="equal">
      <formula>3</formula>
    </cfRule>
    <cfRule type="cellIs" dxfId="19" priority="26" operator="equal">
      <formula>2</formula>
    </cfRule>
    <cfRule type="cellIs" dxfId="18" priority="27" operator="equal">
      <formula>1</formula>
    </cfRule>
  </conditionalFormatting>
  <pageMargins left="0.7" right="0.7" top="0.75" bottom="0.75" header="0.3" footer="0.3"/>
  <pageSetup paperSize="8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38BD-AA0A-7B48-A869-BFB17C9C4D6F}">
  <sheetPr>
    <tabColor rgb="FF00B050"/>
  </sheetPr>
  <dimension ref="A1:W14"/>
  <sheetViews>
    <sheetView zoomScale="125" workbookViewId="0">
      <pane xSplit="3" ySplit="1" topLeftCell="T2" activePane="bottomRight" state="frozen"/>
      <selection pane="topRight" activeCell="D1" sqref="D1"/>
      <selection pane="bottomLeft" activeCell="A2" sqref="A2"/>
      <selection pane="bottomRight" activeCell="W1" sqref="W1"/>
    </sheetView>
  </sheetViews>
  <sheetFormatPr baseColWidth="10" defaultColWidth="11" defaultRowHeight="16" x14ac:dyDescent="0.2"/>
  <cols>
    <col min="1" max="1" width="6.1640625" style="4" customWidth="1"/>
    <col min="2" max="2" width="23.5" style="4" customWidth="1"/>
    <col min="3" max="3" width="23.83203125" style="4" customWidth="1"/>
    <col min="4" max="4" width="13.6640625" style="4" bestFit="1" customWidth="1"/>
    <col min="5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4</v>
      </c>
      <c r="H1" s="2" t="s">
        <v>12</v>
      </c>
      <c r="I1" s="2" t="s">
        <v>13</v>
      </c>
      <c r="J1" s="3" t="s">
        <v>14</v>
      </c>
      <c r="K1" s="3" t="s">
        <v>31</v>
      </c>
      <c r="L1" s="2" t="s">
        <v>15</v>
      </c>
      <c r="M1" s="2" t="s">
        <v>16</v>
      </c>
      <c r="N1" s="3" t="s">
        <v>17</v>
      </c>
      <c r="O1" s="3" t="s">
        <v>32</v>
      </c>
      <c r="P1" s="2" t="s">
        <v>18</v>
      </c>
      <c r="Q1" s="2" t="s">
        <v>19</v>
      </c>
      <c r="R1" s="3" t="s">
        <v>20</v>
      </c>
      <c r="S1" s="3" t="s">
        <v>33</v>
      </c>
      <c r="T1" s="2" t="s">
        <v>21</v>
      </c>
      <c r="U1" s="2" t="s">
        <v>22</v>
      </c>
      <c r="V1" s="3" t="s">
        <v>23</v>
      </c>
      <c r="W1" s="3" t="s">
        <v>34</v>
      </c>
    </row>
    <row r="2" spans="1:23" x14ac:dyDescent="0.2">
      <c r="A2"/>
      <c r="B2" t="s">
        <v>52</v>
      </c>
      <c r="C2" t="s">
        <v>96</v>
      </c>
      <c r="D2" s="17">
        <v>80.165289256198349</v>
      </c>
      <c r="E2" s="5">
        <v>88.532110091743121</v>
      </c>
      <c r="F2" s="10">
        <f>NOVMAG[[#This Row],[FX Comp 1]]+NOVMAG[[#This Row],[FX Comp 2]]</f>
        <v>168.69739934794148</v>
      </c>
      <c r="G2" s="6">
        <f>RANK(NOVMAG[[#This Row],[FX League Total]],NOVMAG[FX League Total], 0)</f>
        <v>1</v>
      </c>
      <c r="H2" s="5">
        <v>91.935483870967744</v>
      </c>
      <c r="I2" s="5">
        <v>81.818181818181827</v>
      </c>
      <c r="J2" s="10">
        <f>NOVMAG[[#This Row],[VT Comp 1]]+NOVMAG[[#This Row],[VT Comp 2]]</f>
        <v>173.75366568914956</v>
      </c>
      <c r="K2" s="6">
        <f>RANK(NOVMAG[[#This Row],[VT League Total]],NOVMAG[VT League Total], 0)</f>
        <v>1</v>
      </c>
      <c r="L2" s="5">
        <v>0</v>
      </c>
      <c r="M2" s="5"/>
      <c r="N2" s="10">
        <f>NOVMAG[[#This Row],[PB Comp 1]]+NOVMAG[[#This Row],[PB Comp 2]]</f>
        <v>0</v>
      </c>
      <c r="O2" s="6">
        <f>RANK(NOVMAG[[#This Row],[PB League Total]],NOVMAG[PB League Total], 0)</f>
        <v>5</v>
      </c>
      <c r="P2" s="5">
        <v>100</v>
      </c>
      <c r="Q2" s="5">
        <v>100</v>
      </c>
      <c r="R2" s="10">
        <f>NOVMAG[[#This Row],[HB Comp 1]]+NOVMAG[[#This Row],[HB Comp 2]]</f>
        <v>200</v>
      </c>
      <c r="S2" s="6">
        <f>RANK(NOVMAG[[#This Row],[HB League Total]],NOVMAG[HB League Total], 0)</f>
        <v>1</v>
      </c>
      <c r="T2" s="5">
        <v>92.035398230088504</v>
      </c>
      <c r="U2" s="4">
        <v>94.342507645259928</v>
      </c>
      <c r="V2" s="10">
        <f>NOVMAG[[#This Row],[AA Comp 1]]+NOVMAG[[#This Row],[AA Comp 2]]</f>
        <v>186.37790587534843</v>
      </c>
      <c r="W2" s="6">
        <f>RANK(NOVMAG[[#This Row],[AA League Total]],NOVMAG[AA League Total], 0)</f>
        <v>1</v>
      </c>
    </row>
    <row r="3" spans="1:23" x14ac:dyDescent="0.2">
      <c r="A3"/>
      <c r="B3" t="s">
        <v>52</v>
      </c>
      <c r="C3" t="s">
        <v>97</v>
      </c>
      <c r="D3" s="17">
        <v>94.214876033057863</v>
      </c>
      <c r="E3" s="5"/>
      <c r="F3" s="10">
        <f>NOVMAG[[#This Row],[FX Comp 1]]+NOVMAG[[#This Row],[FX Comp 2]]</f>
        <v>94.214876033057863</v>
      </c>
      <c r="G3" s="6">
        <f>RANK(NOVMAG[[#This Row],[FX League Total]],NOVMAG[FX League Total], 0)</f>
        <v>4</v>
      </c>
      <c r="H3" s="5">
        <v>100</v>
      </c>
      <c r="I3" s="5"/>
      <c r="J3" s="10">
        <f>NOVMAG[[#This Row],[VT Comp 1]]+NOVMAG[[#This Row],[VT Comp 2]]</f>
        <v>100</v>
      </c>
      <c r="K3" s="6">
        <f>RANK(NOVMAG[[#This Row],[VT League Total]],NOVMAG[VT League Total], 0)</f>
        <v>2</v>
      </c>
      <c r="L3" s="5">
        <v>100</v>
      </c>
      <c r="M3" s="5"/>
      <c r="N3" s="10">
        <f>NOVMAG[[#This Row],[PB Comp 1]]+NOVMAG[[#This Row],[PB Comp 2]]</f>
        <v>100</v>
      </c>
      <c r="O3" s="6">
        <f>RANK(NOVMAG[[#This Row],[PB League Total]],NOVMAG[PB League Total], 0)</f>
        <v>1</v>
      </c>
      <c r="P3" s="5">
        <v>0</v>
      </c>
      <c r="Q3" s="5"/>
      <c r="R3" s="10">
        <f>NOVMAG[[#This Row],[HB Comp 1]]+NOVMAG[[#This Row],[HB Comp 2]]</f>
        <v>0</v>
      </c>
      <c r="S3" s="6">
        <f>RANK(NOVMAG[[#This Row],[HB League Total]],NOVMAG[HB League Total], 0)</f>
        <v>5</v>
      </c>
      <c r="T3" s="5">
        <v>100</v>
      </c>
      <c r="V3" s="10">
        <f>NOVMAG[[#This Row],[AA Comp 1]]+NOVMAG[[#This Row],[AA Comp 2]]</f>
        <v>100</v>
      </c>
      <c r="W3" s="6">
        <f>RANK(NOVMAG[[#This Row],[AA League Total]],NOVMAG[AA League Total], 0)</f>
        <v>2</v>
      </c>
    </row>
    <row r="4" spans="1:23" x14ac:dyDescent="0.2">
      <c r="A4"/>
      <c r="B4" t="s">
        <v>248</v>
      </c>
      <c r="C4" t="s">
        <v>246</v>
      </c>
      <c r="D4" s="5"/>
      <c r="E4" s="5">
        <v>100</v>
      </c>
      <c r="F4" s="10">
        <f>NOVMAG[[#This Row],[FX Comp 1]]+NOVMAG[[#This Row],[FX Comp 2]]</f>
        <v>100</v>
      </c>
      <c r="G4" s="6">
        <f>RANK(NOVMAG[[#This Row],[FX League Total]],NOVMAG[FX League Total], 0)</f>
        <v>2</v>
      </c>
      <c r="H4" s="5"/>
      <c r="I4" s="5">
        <v>98.484848484848484</v>
      </c>
      <c r="J4" s="10">
        <f>NOVMAG[[#This Row],[VT Comp 1]]+NOVMAG[[#This Row],[VT Comp 2]]</f>
        <v>98.484848484848484</v>
      </c>
      <c r="K4" s="6">
        <f>RANK(NOVMAG[[#This Row],[VT League Total]],NOVMAG[VT League Total], 0)</f>
        <v>4</v>
      </c>
      <c r="L4" s="5"/>
      <c r="M4" s="5">
        <v>89.34010152284263</v>
      </c>
      <c r="N4" s="10">
        <f>NOVMAG[[#This Row],[PB Comp 1]]+NOVMAG[[#This Row],[PB Comp 2]]</f>
        <v>89.34010152284263</v>
      </c>
      <c r="O4" s="6">
        <f>RANK(NOVMAG[[#This Row],[PB League Total]],NOVMAG[PB League Total], 0)</f>
        <v>4</v>
      </c>
      <c r="P4" s="5"/>
      <c r="Q4" s="5"/>
      <c r="R4" s="10">
        <f>NOVMAG[[#This Row],[HB Comp 1]]+NOVMAG[[#This Row],[HB Comp 2]]</f>
        <v>0</v>
      </c>
      <c r="S4" s="6">
        <f>RANK(NOVMAG[[#This Row],[HB League Total]],NOVMAG[HB League Total], 0)</f>
        <v>5</v>
      </c>
      <c r="T4" s="5"/>
      <c r="U4" s="4">
        <v>100</v>
      </c>
      <c r="V4" s="10">
        <f>NOVMAG[[#This Row],[AA Comp 1]]+NOVMAG[[#This Row],[AA Comp 2]]</f>
        <v>100</v>
      </c>
      <c r="W4" s="6">
        <f>RANK(NOVMAG[[#This Row],[AA League Total]],NOVMAG[AA League Total], 0)</f>
        <v>2</v>
      </c>
    </row>
    <row r="5" spans="1:23" x14ac:dyDescent="0.2">
      <c r="A5"/>
      <c r="B5" t="s">
        <v>78</v>
      </c>
      <c r="C5" t="s">
        <v>99</v>
      </c>
      <c r="D5" s="17">
        <v>100</v>
      </c>
      <c r="E5" s="5"/>
      <c r="F5" s="10">
        <f>NOVMAG[[#This Row],[FX Comp 1]]+NOVMAG[[#This Row],[FX Comp 2]]</f>
        <v>100</v>
      </c>
      <c r="G5" s="6">
        <f>RANK(NOVMAG[[#This Row],[FX League Total]],NOVMAG[FX League Total], 0)</f>
        <v>2</v>
      </c>
      <c r="H5" s="5">
        <v>89.516129032258064</v>
      </c>
      <c r="I5" s="5"/>
      <c r="J5" s="10">
        <f>NOVMAG[[#This Row],[VT Comp 1]]+NOVMAG[[#This Row],[VT Comp 2]]</f>
        <v>89.516129032258064</v>
      </c>
      <c r="K5" s="6">
        <f>RANK(NOVMAG[[#This Row],[VT League Total]],NOVMAG[VT League Total], 0)</f>
        <v>6</v>
      </c>
      <c r="L5" s="5">
        <v>95.049504950495049</v>
      </c>
      <c r="M5" s="5"/>
      <c r="N5" s="10">
        <f>NOVMAG[[#This Row],[PB Comp 1]]+NOVMAG[[#This Row],[PB Comp 2]]</f>
        <v>95.049504950495049</v>
      </c>
      <c r="O5" s="6">
        <f>RANK(NOVMAG[[#This Row],[PB League Total]],NOVMAG[PB League Total], 0)</f>
        <v>3</v>
      </c>
      <c r="P5" s="5">
        <v>0</v>
      </c>
      <c r="Q5" s="5"/>
      <c r="R5" s="10">
        <f>NOVMAG[[#This Row],[HB Comp 1]]+NOVMAG[[#This Row],[HB Comp 2]]</f>
        <v>0</v>
      </c>
      <c r="S5" s="6">
        <f>RANK(NOVMAG[[#This Row],[HB League Total]],NOVMAG[HB League Total], 0)</f>
        <v>5</v>
      </c>
      <c r="T5" s="5">
        <v>96.755162241887902</v>
      </c>
      <c r="V5" s="10">
        <f>NOVMAG[[#This Row],[AA Comp 1]]+NOVMAG[[#This Row],[AA Comp 2]]</f>
        <v>96.755162241887902</v>
      </c>
      <c r="W5" s="6">
        <f>RANK(NOVMAG[[#This Row],[AA League Total]],NOVMAG[AA League Total], 0)</f>
        <v>4</v>
      </c>
    </row>
    <row r="6" spans="1:23" x14ac:dyDescent="0.2">
      <c r="A6"/>
      <c r="B6" t="s">
        <v>247</v>
      </c>
      <c r="C6" t="s">
        <v>245</v>
      </c>
      <c r="D6" s="5"/>
      <c r="E6" s="5">
        <v>81.192660550458712</v>
      </c>
      <c r="F6" s="10">
        <f>NOVMAG[[#This Row],[FX Comp 1]]+NOVMAG[[#This Row],[FX Comp 2]]</f>
        <v>81.192660550458712</v>
      </c>
      <c r="G6" s="6">
        <f>RANK(NOVMAG[[#This Row],[FX League Total]],NOVMAG[FX League Total], 0)</f>
        <v>7</v>
      </c>
      <c r="H6" s="5"/>
      <c r="I6" s="5">
        <v>94.696969696969703</v>
      </c>
      <c r="J6" s="10">
        <f>NOVMAG[[#This Row],[VT Comp 1]]+NOVMAG[[#This Row],[VT Comp 2]]</f>
        <v>94.696969696969703</v>
      </c>
      <c r="K6" s="6">
        <f>RANK(NOVMAG[[#This Row],[VT League Total]],NOVMAG[VT League Total], 0)</f>
        <v>5</v>
      </c>
      <c r="L6" s="5"/>
      <c r="M6" s="5">
        <v>100</v>
      </c>
      <c r="N6" s="10">
        <f>NOVMAG[[#This Row],[PB Comp 1]]+NOVMAG[[#This Row],[PB Comp 2]]</f>
        <v>100</v>
      </c>
      <c r="O6" s="6">
        <f>RANK(NOVMAG[[#This Row],[PB League Total]],NOVMAG[PB League Total], 0)</f>
        <v>1</v>
      </c>
      <c r="P6" s="5"/>
      <c r="Q6" s="5"/>
      <c r="R6" s="10">
        <f>NOVMAG[[#This Row],[HB Comp 1]]+NOVMAG[[#This Row],[HB Comp 2]]</f>
        <v>0</v>
      </c>
      <c r="S6" s="6">
        <f>RANK(NOVMAG[[#This Row],[HB League Total]],NOVMAG[HB League Total], 0)</f>
        <v>5</v>
      </c>
      <c r="T6" s="5"/>
      <c r="U6" s="4">
        <v>95.412844036697251</v>
      </c>
      <c r="V6" s="10">
        <f>NOVMAG[[#This Row],[AA Comp 1]]+NOVMAG[[#This Row],[AA Comp 2]]</f>
        <v>95.412844036697251</v>
      </c>
      <c r="W6" s="6">
        <f>RANK(NOVMAG[[#This Row],[AA League Total]],NOVMAG[AA League Total], 0)</f>
        <v>5</v>
      </c>
    </row>
    <row r="7" spans="1:23" x14ac:dyDescent="0.2">
      <c r="A7"/>
      <c r="B7" t="s">
        <v>247</v>
      </c>
      <c r="C7" t="s">
        <v>244</v>
      </c>
      <c r="D7" s="5"/>
      <c r="E7" s="5">
        <v>83.944954128440358</v>
      </c>
      <c r="F7" s="10">
        <f>NOVMAG[[#This Row],[FX Comp 1]]+NOVMAG[[#This Row],[FX Comp 2]]</f>
        <v>83.944954128440358</v>
      </c>
      <c r="G7" s="6">
        <f>RANK(NOVMAG[[#This Row],[FX League Total]],NOVMAG[FX League Total], 0)</f>
        <v>6</v>
      </c>
      <c r="H7" s="5"/>
      <c r="I7" s="5">
        <v>100</v>
      </c>
      <c r="J7" s="10">
        <f>NOVMAG[[#This Row],[VT Comp 1]]+NOVMAG[[#This Row],[VT Comp 2]]</f>
        <v>100</v>
      </c>
      <c r="K7" s="6">
        <f>RANK(NOVMAG[[#This Row],[VT League Total]],NOVMAG[VT League Total], 0)</f>
        <v>2</v>
      </c>
      <c r="L7" s="5"/>
      <c r="M7" s="5"/>
      <c r="N7" s="10">
        <f>NOVMAG[[#This Row],[PB Comp 1]]+NOVMAG[[#This Row],[PB Comp 2]]</f>
        <v>0</v>
      </c>
      <c r="O7" s="6">
        <f>RANK(NOVMAG[[#This Row],[PB League Total]],NOVMAG[PB League Total], 0)</f>
        <v>5</v>
      </c>
      <c r="P7" s="5"/>
      <c r="Q7" s="5">
        <v>63.942307692307701</v>
      </c>
      <c r="R7" s="10">
        <f>NOVMAG[[#This Row],[HB Comp 1]]+NOVMAG[[#This Row],[HB Comp 2]]</f>
        <v>63.942307692307701</v>
      </c>
      <c r="S7" s="6">
        <f>RANK(NOVMAG[[#This Row],[HB League Total]],NOVMAG[HB League Total], 0)</f>
        <v>4</v>
      </c>
      <c r="T7" s="5"/>
      <c r="U7" s="4">
        <v>88.685015290519871</v>
      </c>
      <c r="V7" s="10">
        <f>NOVMAG[[#This Row],[AA Comp 1]]+NOVMAG[[#This Row],[AA Comp 2]]</f>
        <v>88.685015290519871</v>
      </c>
      <c r="W7" s="6">
        <f>RANK(NOVMAG[[#This Row],[AA League Total]],NOVMAG[AA League Total], 0)</f>
        <v>6</v>
      </c>
    </row>
    <row r="8" spans="1:23" x14ac:dyDescent="0.2">
      <c r="A8"/>
      <c r="B8" t="s">
        <v>52</v>
      </c>
      <c r="C8" t="s">
        <v>98</v>
      </c>
      <c r="D8" s="17">
        <v>77.685950413223154</v>
      </c>
      <c r="E8" s="5"/>
      <c r="F8" s="10">
        <f>NOVMAG[[#This Row],[FX Comp 1]]+NOVMAG[[#This Row],[FX Comp 2]]</f>
        <v>77.685950413223154</v>
      </c>
      <c r="G8" s="6">
        <f>RANK(NOVMAG[[#This Row],[FX League Total]],NOVMAG[FX League Total], 0)</f>
        <v>8</v>
      </c>
      <c r="H8" s="5">
        <v>87.903225806451616</v>
      </c>
      <c r="I8" s="5"/>
      <c r="J8" s="10">
        <f>NOVMAG[[#This Row],[VT Comp 1]]+NOVMAG[[#This Row],[VT Comp 2]]</f>
        <v>87.903225806451616</v>
      </c>
      <c r="K8" s="6">
        <f>RANK(NOVMAG[[#This Row],[VT League Total]],NOVMAG[VT League Total], 0)</f>
        <v>7</v>
      </c>
      <c r="L8" s="5">
        <v>0</v>
      </c>
      <c r="M8" s="5"/>
      <c r="N8" s="10">
        <f>NOVMAG[[#This Row],[PB Comp 1]]+NOVMAG[[#This Row],[PB Comp 2]]</f>
        <v>0</v>
      </c>
      <c r="O8" s="6">
        <f>RANK(NOVMAG[[#This Row],[PB League Total]],NOVMAG[PB League Total], 0)</f>
        <v>5</v>
      </c>
      <c r="P8" s="5">
        <v>93.069306930693074</v>
      </c>
      <c r="Q8" s="5"/>
      <c r="R8" s="10">
        <f>NOVMAG[[#This Row],[HB Comp 1]]+NOVMAG[[#This Row],[HB Comp 2]]</f>
        <v>93.069306930693074</v>
      </c>
      <c r="S8" s="6">
        <f>RANK(NOVMAG[[#This Row],[HB League Total]],NOVMAG[HB League Total], 0)</f>
        <v>2</v>
      </c>
      <c r="T8" s="5">
        <v>87.61061946902656</v>
      </c>
      <c r="V8" s="10">
        <f>NOVMAG[[#This Row],[AA Comp 1]]+NOVMAG[[#This Row],[AA Comp 2]]</f>
        <v>87.61061946902656</v>
      </c>
      <c r="W8" s="6">
        <f>RANK(NOVMAG[[#This Row],[AA League Total]],NOVMAG[AA League Total], 0)</f>
        <v>7</v>
      </c>
    </row>
    <row r="9" spans="1:23" x14ac:dyDescent="0.2">
      <c r="A9"/>
      <c r="B9" t="s">
        <v>247</v>
      </c>
      <c r="C9" t="s">
        <v>243</v>
      </c>
      <c r="D9" s="5"/>
      <c r="E9" s="5">
        <v>84.862385321100916</v>
      </c>
      <c r="F9" s="10">
        <f>NOVMAG[[#This Row],[FX Comp 1]]+NOVMAG[[#This Row],[FX Comp 2]]</f>
        <v>84.862385321100916</v>
      </c>
      <c r="G9" s="6">
        <f>RANK(NOVMAG[[#This Row],[FX League Total]],NOVMAG[FX League Total], 0)</f>
        <v>5</v>
      </c>
      <c r="H9" s="5"/>
      <c r="I9" s="5">
        <v>80.303030303030312</v>
      </c>
      <c r="J9" s="10">
        <f>NOVMAG[[#This Row],[VT Comp 1]]+NOVMAG[[#This Row],[VT Comp 2]]</f>
        <v>80.303030303030312</v>
      </c>
      <c r="K9" s="6">
        <f>RANK(NOVMAG[[#This Row],[VT League Total]],NOVMAG[VT League Total], 0)</f>
        <v>8</v>
      </c>
      <c r="L9" s="5"/>
      <c r="M9" s="5"/>
      <c r="N9" s="10">
        <f>NOVMAG[[#This Row],[PB Comp 1]]+NOVMAG[[#This Row],[PB Comp 2]]</f>
        <v>0</v>
      </c>
      <c r="O9" s="6">
        <f>RANK(NOVMAG[[#This Row],[PB League Total]],NOVMAG[PB League Total], 0)</f>
        <v>5</v>
      </c>
      <c r="P9" s="5"/>
      <c r="Q9" s="5">
        <v>83.173076923076934</v>
      </c>
      <c r="R9" s="10">
        <f>NOVMAG[[#This Row],[HB Comp 1]]+NOVMAG[[#This Row],[HB Comp 2]]</f>
        <v>83.173076923076934</v>
      </c>
      <c r="S9" s="6">
        <f>RANK(NOVMAG[[#This Row],[HB League Total]],NOVMAG[HB League Total], 0)</f>
        <v>3</v>
      </c>
      <c r="T9" s="5"/>
      <c r="U9" s="4">
        <v>87.155963302752284</v>
      </c>
      <c r="V9" s="10">
        <f>NOVMAG[[#This Row],[AA Comp 1]]+NOVMAG[[#This Row],[AA Comp 2]]</f>
        <v>87.155963302752284</v>
      </c>
      <c r="W9" s="6">
        <f>RANK(NOVMAG[[#This Row],[AA League Total]],NOVMAG[AA League Total], 0)</f>
        <v>8</v>
      </c>
    </row>
    <row r="10" spans="1:23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1:23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1:23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1:23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</sheetData>
  <conditionalFormatting sqref="G2:G9 K2:K9 O2:O9 S2:S9 W2:W9 G15:G1048576 K15:K1048576 O15:O1048576 S15:S1048576 W15:W1048576">
    <cfRule type="cellIs" dxfId="17" priority="1" operator="equal">
      <formula>3</formula>
    </cfRule>
    <cfRule type="cellIs" dxfId="16" priority="2" operator="equal">
      <formula>2</formula>
    </cfRule>
    <cfRule type="cellIs" dxfId="15" priority="3" operator="equal">
      <formula>1</formula>
    </cfRule>
  </conditionalFormatting>
  <pageMargins left="0.7" right="0.7" top="0.75" bottom="0.75" header="0.3" footer="0.3"/>
  <pageSetup paperSize="8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1A728-752C-B040-89A4-362F6E98400A}">
  <sheetPr codeName="Sheet6">
    <tabColor rgb="FF00B050"/>
  </sheetPr>
  <dimension ref="A1:W11"/>
  <sheetViews>
    <sheetView workbookViewId="0">
      <pane xSplit="3" ySplit="1" topLeftCell="U2" activePane="bottomRight" state="frozen"/>
      <selection pane="topRight" activeCell="D1" sqref="D1"/>
      <selection pane="bottomLeft" activeCell="A2" sqref="A2"/>
      <selection pane="bottomRight" activeCell="W1" sqref="W1"/>
    </sheetView>
  </sheetViews>
  <sheetFormatPr baseColWidth="10" defaultColWidth="11" defaultRowHeight="16" x14ac:dyDescent="0.2"/>
  <cols>
    <col min="1" max="1" width="6.33203125" style="4" customWidth="1"/>
    <col min="2" max="2" width="26.1640625" style="4" bestFit="1" customWidth="1"/>
    <col min="3" max="3" width="23.83203125" style="4" customWidth="1"/>
    <col min="4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36</v>
      </c>
      <c r="H1" s="2" t="s">
        <v>24</v>
      </c>
      <c r="I1" s="2" t="s">
        <v>25</v>
      </c>
      <c r="J1" s="3" t="s">
        <v>26</v>
      </c>
      <c r="K1" s="3" t="s">
        <v>37</v>
      </c>
      <c r="L1" s="2" t="s">
        <v>27</v>
      </c>
      <c r="M1" s="2" t="s">
        <v>28</v>
      </c>
      <c r="N1" s="3" t="s">
        <v>29</v>
      </c>
      <c r="O1" s="3" t="s">
        <v>38</v>
      </c>
      <c r="P1" s="2" t="s">
        <v>12</v>
      </c>
      <c r="Q1" s="2" t="s">
        <v>13</v>
      </c>
      <c r="R1" s="3" t="s">
        <v>14</v>
      </c>
      <c r="S1" s="3" t="s">
        <v>39</v>
      </c>
      <c r="T1" s="2" t="s">
        <v>21</v>
      </c>
      <c r="U1" s="2" t="s">
        <v>22</v>
      </c>
      <c r="V1" s="3" t="s">
        <v>23</v>
      </c>
      <c r="W1" s="3" t="s">
        <v>35</v>
      </c>
    </row>
    <row r="2" spans="1:23" x14ac:dyDescent="0.2">
      <c r="A2" s="8"/>
      <c r="B2" s="15" t="s">
        <v>79</v>
      </c>
      <c r="C2" s="15" t="s">
        <v>102</v>
      </c>
      <c r="D2">
        <v>100</v>
      </c>
      <c r="E2">
        <v>100</v>
      </c>
      <c r="F2" s="10">
        <f>FIGWAG[[#This Row],[FX Comp 1]]+FIGWAG[[#This Row],[FX Comp 2]]</f>
        <v>200</v>
      </c>
      <c r="G2" s="6">
        <f>RANK(FIGWAG[[#This Row],[FX League Total]],FIGWAG[FX League Total], 0)</f>
        <v>1</v>
      </c>
      <c r="H2">
        <v>93.574297188755025</v>
      </c>
      <c r="I2">
        <v>89.075630252100837</v>
      </c>
      <c r="J2" s="10">
        <f>FIGWAG[[#This Row],[BB Comp 1]]+FIGWAG[[#This Row],[BB Comp 2]]</f>
        <v>182.64992744085586</v>
      </c>
      <c r="K2" s="6">
        <f>RANK(FIGWAG[[#This Row],[BB League Total]],FIGWAG[BB League Total], 0)</f>
        <v>2</v>
      </c>
      <c r="L2">
        <v>100</v>
      </c>
      <c r="M2">
        <v>97.916666666666657</v>
      </c>
      <c r="N2" s="10">
        <f>FIGWAG[[#This Row],[UB Comp 1]]+FIGWAG[[#This Row],[UB Comp 2]]</f>
        <v>197.91666666666666</v>
      </c>
      <c r="O2" s="6">
        <f>RANK(FIGWAG[[#This Row],[UB League Total]],FIGWAG[UB League Total], 0)</f>
        <v>1</v>
      </c>
      <c r="P2">
        <v>97.560975609756099</v>
      </c>
      <c r="Q2">
        <v>95.757575757575751</v>
      </c>
      <c r="R2" s="10">
        <f>FIGWAG[[#This Row],[VT Comp 1]]+FIGWAG[[#This Row],[VT Comp 2]]</f>
        <v>193.31855136733185</v>
      </c>
      <c r="S2" s="6">
        <f>RANK(FIGWAG[[#This Row],[VT League Total]],FIGWAG[VT League Total], 0)</f>
        <v>2</v>
      </c>
      <c r="T2">
        <v>100</v>
      </c>
      <c r="U2">
        <v>98.78183831672203</v>
      </c>
      <c r="V2" s="10">
        <f>FIGWAG[[#This Row],[AA Comp 1]]+FIGWAG[[#This Row],[AA Comp 2]]</f>
        <v>198.78183831672203</v>
      </c>
      <c r="W2" s="6">
        <f>RANK(FIGWAG[[#This Row],[AA League Total]],FIGWAG[AA League Total], 0)</f>
        <v>1</v>
      </c>
    </row>
    <row r="3" spans="1:23" x14ac:dyDescent="0.2">
      <c r="A3" s="1"/>
      <c r="B3" t="s">
        <v>42</v>
      </c>
      <c r="C3" t="s">
        <v>333</v>
      </c>
      <c r="D3">
        <v>95.161290322580655</v>
      </c>
      <c r="E3">
        <v>98.333333333333343</v>
      </c>
      <c r="F3" s="10">
        <f>FIGWAG[[#This Row],[FX Comp 1]]+FIGWAG[[#This Row],[FX Comp 2]]</f>
        <v>193.49462365591398</v>
      </c>
      <c r="G3" s="6">
        <f>RANK(FIGWAG[[#This Row],[FX League Total]],FIGWAG[FX League Total], 0)</f>
        <v>2</v>
      </c>
      <c r="H3">
        <v>100</v>
      </c>
      <c r="I3">
        <v>97.47899159663865</v>
      </c>
      <c r="J3" s="10">
        <f>FIGWAG[[#This Row],[BB Comp 1]]+FIGWAG[[#This Row],[BB Comp 2]]</f>
        <v>197.47899159663865</v>
      </c>
      <c r="K3" s="6">
        <f>RANK(FIGWAG[[#This Row],[BB League Total]],FIGWAG[BB League Total], 0)</f>
        <v>1</v>
      </c>
      <c r="L3">
        <v>86.697247706422004</v>
      </c>
      <c r="M3">
        <v>87.499999999999986</v>
      </c>
      <c r="N3" s="10">
        <f>FIGWAG[[#This Row],[UB Comp 1]]+FIGWAG[[#This Row],[UB Comp 2]]</f>
        <v>174.19724770642199</v>
      </c>
      <c r="O3" s="6">
        <f>RANK(FIGWAG[[#This Row],[UB League Total]],FIGWAG[UB League Total], 0)</f>
        <v>2</v>
      </c>
      <c r="P3">
        <v>100</v>
      </c>
      <c r="Q3">
        <v>95.959595959595958</v>
      </c>
      <c r="R3" s="10">
        <f>FIGWAG[[#This Row],[VT Comp 1]]+FIGWAG[[#This Row],[VT Comp 2]]</f>
        <v>195.95959595959596</v>
      </c>
      <c r="S3" s="6">
        <f>RANK(FIGWAG[[#This Row],[VT League Total]],FIGWAG[VT League Total], 0)</f>
        <v>1</v>
      </c>
      <c r="T3">
        <v>97.976570820021294</v>
      </c>
      <c r="U3">
        <v>97.231450719822803</v>
      </c>
      <c r="V3" s="10">
        <f>FIGWAG[[#This Row],[AA Comp 1]]+FIGWAG[[#This Row],[AA Comp 2]]</f>
        <v>195.20802153984408</v>
      </c>
      <c r="W3" s="6">
        <f>RANK(FIGWAG[[#This Row],[AA League Total]],FIGWAG[AA League Total], 0)</f>
        <v>2</v>
      </c>
    </row>
    <row r="4" spans="1:23" x14ac:dyDescent="0.2">
      <c r="A4" s="1"/>
      <c r="B4" t="s">
        <v>42</v>
      </c>
      <c r="C4" t="s">
        <v>100</v>
      </c>
      <c r="D4">
        <v>90.322580645161281</v>
      </c>
      <c r="E4">
        <v>91.666666666666657</v>
      </c>
      <c r="F4" s="10">
        <f>FIGWAG[[#This Row],[FX Comp 1]]+FIGWAG[[#This Row],[FX Comp 2]]</f>
        <v>181.98924731182794</v>
      </c>
      <c r="G4" s="6">
        <f>RANK(FIGWAG[[#This Row],[FX League Total]],FIGWAG[FX League Total], 0)</f>
        <v>3</v>
      </c>
      <c r="H4">
        <v>88.353413654618478</v>
      </c>
      <c r="I4">
        <v>75.630252100840337</v>
      </c>
      <c r="J4" s="10">
        <f>FIGWAG[[#This Row],[BB Comp 1]]+FIGWAG[[#This Row],[BB Comp 2]]</f>
        <v>163.98366575545882</v>
      </c>
      <c r="K4" s="6">
        <f>RANK(FIGWAG[[#This Row],[BB League Total]],FIGWAG[BB League Total], 0)</f>
        <v>3</v>
      </c>
      <c r="L4">
        <v>65.137614678899084</v>
      </c>
      <c r="M4">
        <v>95.833333333333314</v>
      </c>
      <c r="N4" s="10">
        <f>FIGWAG[[#This Row],[UB Comp 1]]+FIGWAG[[#This Row],[UB Comp 2]]</f>
        <v>160.97094801223238</v>
      </c>
      <c r="O4" s="6">
        <f>RANK(FIGWAG[[#This Row],[UB League Total]],FIGWAG[UB League Total], 0)</f>
        <v>3</v>
      </c>
      <c r="P4">
        <v>97.154471544715435</v>
      </c>
      <c r="Q4">
        <v>0</v>
      </c>
      <c r="R4" s="10">
        <f>FIGWAG[[#This Row],[VT Comp 1]]+FIGWAG[[#This Row],[VT Comp 2]]</f>
        <v>97.154471544715435</v>
      </c>
      <c r="S4" s="6">
        <f>RANK(FIGWAG[[#This Row],[VT League Total]],FIGWAG[VT League Total], 0)</f>
        <v>5</v>
      </c>
      <c r="T4">
        <v>87.859424920127793</v>
      </c>
      <c r="U4">
        <v>89.922480620155028</v>
      </c>
      <c r="V4" s="10">
        <f>FIGWAG[[#This Row],[AA Comp 1]]+FIGWAG[[#This Row],[AA Comp 2]]</f>
        <v>177.78190554028282</v>
      </c>
      <c r="W4" s="6">
        <f>RANK(FIGWAG[[#This Row],[AA League Total]],FIGWAG[AA League Total], 0)</f>
        <v>3</v>
      </c>
    </row>
    <row r="5" spans="1:23" x14ac:dyDescent="0.2">
      <c r="A5" s="8"/>
      <c r="B5" s="15" t="s">
        <v>235</v>
      </c>
      <c r="C5" s="19" t="s">
        <v>249</v>
      </c>
      <c r="D5"/>
      <c r="E5">
        <v>100</v>
      </c>
      <c r="F5" s="10">
        <f>FIGWAG[[#This Row],[FX Comp 1]]+FIGWAG[[#This Row],[FX Comp 2]]</f>
        <v>100</v>
      </c>
      <c r="G5" s="6">
        <f>RANK(FIGWAG[[#This Row],[FX League Total]],FIGWAG[FX League Total], 0)</f>
        <v>4</v>
      </c>
      <c r="H5"/>
      <c r="I5">
        <v>93.277310924369743</v>
      </c>
      <c r="J5" s="10">
        <f>FIGWAG[[#This Row],[BB Comp 1]]+FIGWAG[[#This Row],[BB Comp 2]]</f>
        <v>93.277310924369743</v>
      </c>
      <c r="K5" s="6">
        <f>RANK(FIGWAG[[#This Row],[BB League Total]],FIGWAG[BB League Total], 0)</f>
        <v>5</v>
      </c>
      <c r="L5"/>
      <c r="M5">
        <v>100</v>
      </c>
      <c r="N5" s="10">
        <f>FIGWAG[[#This Row],[UB Comp 1]]+FIGWAG[[#This Row],[UB Comp 2]]</f>
        <v>100</v>
      </c>
      <c r="O5" s="6">
        <f>RANK(FIGWAG[[#This Row],[UB League Total]],FIGWAG[UB League Total], 0)</f>
        <v>4</v>
      </c>
      <c r="P5"/>
      <c r="Q5">
        <v>100</v>
      </c>
      <c r="R5" s="10">
        <f>FIGWAG[[#This Row],[VT Comp 1]]+FIGWAG[[#This Row],[VT Comp 2]]</f>
        <v>100</v>
      </c>
      <c r="S5" s="6">
        <f>RANK(FIGWAG[[#This Row],[VT League Total]],FIGWAG[VT League Total], 0)</f>
        <v>3</v>
      </c>
      <c r="T5"/>
      <c r="U5">
        <v>100</v>
      </c>
      <c r="V5" s="10">
        <f>FIGWAG[[#This Row],[AA Comp 1]]+FIGWAG[[#This Row],[AA Comp 2]]</f>
        <v>100</v>
      </c>
      <c r="W5" s="6">
        <f>RANK(FIGWAG[[#This Row],[AA League Total]],FIGWAG[AA League Total], 0)</f>
        <v>4</v>
      </c>
    </row>
    <row r="6" spans="1:23" x14ac:dyDescent="0.2">
      <c r="A6" s="1"/>
      <c r="B6" t="s">
        <v>42</v>
      </c>
      <c r="C6" s="19" t="s">
        <v>250</v>
      </c>
      <c r="D6"/>
      <c r="E6">
        <v>94.999999999999986</v>
      </c>
      <c r="F6" s="10">
        <f>FIGWAG[[#This Row],[FX Comp 1]]+FIGWAG[[#This Row],[FX Comp 2]]</f>
        <v>94.999999999999986</v>
      </c>
      <c r="G6" s="6">
        <f>RANK(FIGWAG[[#This Row],[FX League Total]],FIGWAG[FX League Total], 0)</f>
        <v>5</v>
      </c>
      <c r="H6"/>
      <c r="I6">
        <v>100</v>
      </c>
      <c r="J6" s="10">
        <f>FIGWAG[[#This Row],[BB Comp 1]]+FIGWAG[[#This Row],[BB Comp 2]]</f>
        <v>100</v>
      </c>
      <c r="K6" s="6">
        <f>RANK(FIGWAG[[#This Row],[BB League Total]],FIGWAG[BB League Total], 0)</f>
        <v>4</v>
      </c>
      <c r="L6"/>
      <c r="M6">
        <v>90.625</v>
      </c>
      <c r="N6" s="10">
        <f>FIGWAG[[#This Row],[UB Comp 1]]+FIGWAG[[#This Row],[UB Comp 2]]</f>
        <v>90.625</v>
      </c>
      <c r="O6" s="6">
        <f>RANK(FIGWAG[[#This Row],[UB League Total]],FIGWAG[UB League Total], 0)</f>
        <v>5</v>
      </c>
      <c r="P6"/>
      <c r="Q6">
        <v>92.12121212121211</v>
      </c>
      <c r="R6" s="10">
        <f>FIGWAG[[#This Row],[VT Comp 1]]+FIGWAG[[#This Row],[VT Comp 2]]</f>
        <v>92.12121212121211</v>
      </c>
      <c r="S6" s="6">
        <f>RANK(FIGWAG[[#This Row],[VT League Total]],FIGWAG[VT League Total], 0)</f>
        <v>6</v>
      </c>
      <c r="T6"/>
      <c r="U6">
        <v>97.342192691029894</v>
      </c>
      <c r="V6" s="10">
        <f>FIGWAG[[#This Row],[AA Comp 1]]+FIGWAG[[#This Row],[AA Comp 2]]</f>
        <v>97.342192691029894</v>
      </c>
      <c r="W6" s="6">
        <f>RANK(FIGWAG[[#This Row],[AA League Total]],FIGWAG[AA League Total], 0)</f>
        <v>5</v>
      </c>
    </row>
    <row r="7" spans="1:23" x14ac:dyDescent="0.2">
      <c r="A7" s="1"/>
      <c r="B7" t="s">
        <v>42</v>
      </c>
      <c r="C7" t="s">
        <v>101</v>
      </c>
      <c r="D7">
        <v>87.096774193548384</v>
      </c>
      <c r="E7">
        <v>0</v>
      </c>
      <c r="F7" s="10">
        <f>FIGWAG[[#This Row],[FX Comp 1]]+FIGWAG[[#This Row],[FX Comp 2]]</f>
        <v>87.096774193548384</v>
      </c>
      <c r="G7" s="6">
        <f>RANK(FIGWAG[[#This Row],[FX League Total]],FIGWAG[FX League Total], 0)</f>
        <v>6</v>
      </c>
      <c r="H7">
        <v>82.329317269076313</v>
      </c>
      <c r="I7">
        <v>0</v>
      </c>
      <c r="J7" s="10">
        <f>FIGWAG[[#This Row],[BB Comp 1]]+FIGWAG[[#This Row],[BB Comp 2]]</f>
        <v>82.329317269076313</v>
      </c>
      <c r="K7" s="6">
        <f>RANK(FIGWAG[[#This Row],[BB League Total]],FIGWAG[BB League Total], 0)</f>
        <v>6</v>
      </c>
      <c r="L7">
        <v>67.889908256880744</v>
      </c>
      <c r="M7">
        <v>0</v>
      </c>
      <c r="N7" s="10">
        <f>FIGWAG[[#This Row],[UB Comp 1]]+FIGWAG[[#This Row],[UB Comp 2]]</f>
        <v>67.889908256880744</v>
      </c>
      <c r="O7" s="6">
        <f>RANK(FIGWAG[[#This Row],[UB League Total]],FIGWAG[UB League Total], 0)</f>
        <v>6</v>
      </c>
      <c r="P7">
        <v>97.560975609756099</v>
      </c>
      <c r="Q7">
        <v>0</v>
      </c>
      <c r="R7" s="10">
        <f>FIGWAG[[#This Row],[VT Comp 1]]+FIGWAG[[#This Row],[VT Comp 2]]</f>
        <v>97.560975609756099</v>
      </c>
      <c r="S7" s="6">
        <f>RANK(FIGWAG[[#This Row],[VT League Total]],FIGWAG[VT League Total], 0)</f>
        <v>4</v>
      </c>
      <c r="T7">
        <v>86.15548455804047</v>
      </c>
      <c r="U7">
        <v>0</v>
      </c>
      <c r="V7" s="10">
        <f>FIGWAG[[#This Row],[AA Comp 1]]+FIGWAG[[#This Row],[AA Comp 2]]</f>
        <v>86.15548455804047</v>
      </c>
      <c r="W7" s="6">
        <f>RANK(FIGWAG[[#This Row],[AA League Total]],FIGWAG[AA League Total], 0)</f>
        <v>6</v>
      </c>
    </row>
    <row r="8" spans="1:23" x14ac:dyDescent="0.2">
      <c r="A8" s="8"/>
      <c r="B8" t="s">
        <v>248</v>
      </c>
      <c r="C8" t="s">
        <v>251</v>
      </c>
      <c r="D8"/>
      <c r="E8">
        <v>0</v>
      </c>
      <c r="F8" s="10">
        <f>FIGWAG[[#This Row],[FX Comp 1]]+FIGWAG[[#This Row],[FX Comp 2]]</f>
        <v>0</v>
      </c>
      <c r="G8" s="6">
        <f>RANK(FIGWAG[[#This Row],[FX League Total]],FIGWAG[FX League Total], 0)</f>
        <v>7</v>
      </c>
      <c r="H8"/>
      <c r="I8">
        <v>0</v>
      </c>
      <c r="J8" s="10">
        <f>FIGWAG[[#This Row],[BB Comp 1]]+FIGWAG[[#This Row],[BB Comp 2]]</f>
        <v>0</v>
      </c>
      <c r="K8" s="6">
        <f>RANK(FIGWAG[[#This Row],[BB League Total]],FIGWAG[BB League Total], 0)</f>
        <v>7</v>
      </c>
      <c r="L8"/>
      <c r="M8">
        <v>0</v>
      </c>
      <c r="N8" s="10">
        <f>FIGWAG[[#This Row],[UB Comp 1]]+FIGWAG[[#This Row],[UB Comp 2]]</f>
        <v>0</v>
      </c>
      <c r="O8" s="6">
        <f>RANK(FIGWAG[[#This Row],[UB League Total]],FIGWAG[UB League Total], 0)</f>
        <v>7</v>
      </c>
      <c r="P8"/>
      <c r="Q8">
        <v>0</v>
      </c>
      <c r="R8" s="10">
        <f>FIGWAG[[#This Row],[VT Comp 1]]+FIGWAG[[#This Row],[VT Comp 2]]</f>
        <v>0</v>
      </c>
      <c r="S8" s="6">
        <f>RANK(FIGWAG[[#This Row],[VT League Total]],FIGWAG[VT League Total], 0)</f>
        <v>7</v>
      </c>
      <c r="T8"/>
      <c r="U8">
        <v>0</v>
      </c>
      <c r="V8" s="10">
        <f>FIGWAG[[#This Row],[AA Comp 1]]+FIGWAG[[#This Row],[AA Comp 2]]</f>
        <v>0</v>
      </c>
      <c r="W8" s="6">
        <f>RANK(FIGWAG[[#This Row],[AA League Total]],FIGWAG[AA League Total], 0)</f>
        <v>7</v>
      </c>
    </row>
    <row r="9" spans="1:23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</row>
    <row r="10" spans="1:23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</row>
  </sheetData>
  <sortState xmlns:xlrd2="http://schemas.microsoft.com/office/spreadsheetml/2017/richdata2" ref="B2:W4">
    <sortCondition ref="W2:W4"/>
  </sortState>
  <phoneticPr fontId="1" type="noConversion"/>
  <conditionalFormatting sqref="G2:G8 K2:K8 O2:O8 S2:S8 W2:W8">
    <cfRule type="cellIs" dxfId="14" priority="13" operator="equal">
      <formula>3</formula>
    </cfRule>
    <cfRule type="cellIs" dxfId="13" priority="14" operator="equal">
      <formula>2</formula>
    </cfRule>
    <cfRule type="cellIs" dxfId="12" priority="15" operator="equal">
      <formula>1</formula>
    </cfRule>
  </conditionalFormatting>
  <pageMargins left="0.7" right="0.7" top="0.75" bottom="0.75" header="0.3" footer="0.3"/>
  <pageSetup paperSize="8" orientation="portrait" horizontalDpi="0" verticalDpi="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7E491-051D-BE44-ABAE-17B02E97B070}">
  <sheetPr>
    <tabColor rgb="FF00B050"/>
  </sheetPr>
  <dimension ref="A1:W33"/>
  <sheetViews>
    <sheetView zoomScale="117" workbookViewId="0">
      <pane xSplit="3" ySplit="1" topLeftCell="V2" activePane="bottomRight" state="frozen"/>
      <selection pane="topRight" activeCell="D1" sqref="D1"/>
      <selection pane="bottomLeft" activeCell="A2" sqref="A2"/>
      <selection pane="bottomRight" activeCell="W1" sqref="W1"/>
    </sheetView>
  </sheetViews>
  <sheetFormatPr baseColWidth="10" defaultColWidth="11" defaultRowHeight="16" x14ac:dyDescent="0.2"/>
  <cols>
    <col min="1" max="1" width="6.33203125" style="4" customWidth="1"/>
    <col min="2" max="2" width="26.1640625" style="4" bestFit="1" customWidth="1"/>
    <col min="3" max="3" width="23.83203125" style="4" customWidth="1"/>
    <col min="4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36</v>
      </c>
      <c r="H1" s="2" t="s">
        <v>24</v>
      </c>
      <c r="I1" s="2" t="s">
        <v>25</v>
      </c>
      <c r="J1" s="3" t="s">
        <v>26</v>
      </c>
      <c r="K1" s="3" t="s">
        <v>37</v>
      </c>
      <c r="L1" s="2" t="s">
        <v>27</v>
      </c>
      <c r="M1" s="2" t="s">
        <v>28</v>
      </c>
      <c r="N1" s="3" t="s">
        <v>29</v>
      </c>
      <c r="O1" s="3" t="s">
        <v>38</v>
      </c>
      <c r="P1" s="2" t="s">
        <v>12</v>
      </c>
      <c r="Q1" s="2" t="s">
        <v>13</v>
      </c>
      <c r="R1" s="3" t="s">
        <v>14</v>
      </c>
      <c r="S1" s="3" t="s">
        <v>39</v>
      </c>
      <c r="T1" s="2" t="s">
        <v>21</v>
      </c>
      <c r="U1" s="2" t="s">
        <v>22</v>
      </c>
      <c r="V1" s="3" t="s">
        <v>23</v>
      </c>
      <c r="W1" s="3" t="s">
        <v>35</v>
      </c>
    </row>
    <row r="2" spans="1:23" x14ac:dyDescent="0.2">
      <c r="A2" s="1"/>
      <c r="B2" s="1" t="s">
        <v>79</v>
      </c>
      <c r="C2" s="1" t="s">
        <v>105</v>
      </c>
      <c r="D2">
        <v>94.20289855072464</v>
      </c>
      <c r="E2">
        <v>97.744360902255636</v>
      </c>
      <c r="F2" s="10">
        <f>ADVPWAG[[#This Row],[FX Comp 1]]+ADVPWAG[[#This Row],[FX Comp 2]]</f>
        <v>191.94725945298029</v>
      </c>
      <c r="G2" s="6">
        <f>RANK(ADVPWAG[[#This Row],[FX League Total]],ADVPWAG[FX League Total], 0)</f>
        <v>3</v>
      </c>
      <c r="H2">
        <v>0</v>
      </c>
      <c r="I2">
        <v>0</v>
      </c>
      <c r="J2" s="10">
        <f>ADVPWAG[[#This Row],[BB Comp 1]]+ADVPWAG[[#This Row],[BB Comp 2]]</f>
        <v>0</v>
      </c>
      <c r="K2" s="6">
        <f>RANK(ADVPWAG[[#This Row],[BB League Total]],ADVPWAG[BB League Total], 0)</f>
        <v>19</v>
      </c>
      <c r="L2">
        <v>88.72727272727272</v>
      </c>
      <c r="M2">
        <v>94.779116465863467</v>
      </c>
      <c r="N2" s="10">
        <f>ADVPWAG[[#This Row],[UB Comp 1]]+ADVPWAG[[#This Row],[UB Comp 2]]</f>
        <v>183.50638919313619</v>
      </c>
      <c r="O2" s="6">
        <f>RANK(ADVPWAG[[#This Row],[UB League Total]],ADVPWAG[UB League Total], 0)</f>
        <v>1</v>
      </c>
      <c r="P2">
        <v>96.83794466403161</v>
      </c>
      <c r="Q2">
        <v>96.800000000000011</v>
      </c>
      <c r="R2" s="10">
        <f>ADVPWAG[[#This Row],[VT Comp 1]]+ADVPWAG[[#This Row],[VT Comp 2]]</f>
        <v>193.63794466403164</v>
      </c>
      <c r="S2" s="6">
        <f>RANK(ADVPWAG[[#This Row],[VT League Total]],ADVPWAG[VT League Total], 0)</f>
        <v>3</v>
      </c>
      <c r="T2">
        <v>97.399219765929786</v>
      </c>
      <c r="U2">
        <v>95.595854922279798</v>
      </c>
      <c r="V2" s="10">
        <f>ADVPWAG[[#This Row],[AA Comp 1]]+ADVPWAG[[#This Row],[AA Comp 2]]</f>
        <v>192.99507468820957</v>
      </c>
      <c r="W2" s="6">
        <f>RANK(ADVPWAG[[#This Row],[AA League Total]],ADVPWAG[AA League Total], 0)</f>
        <v>1</v>
      </c>
    </row>
    <row r="3" spans="1:23" x14ac:dyDescent="0.2">
      <c r="A3" s="1"/>
      <c r="B3" s="1" t="s">
        <v>79</v>
      </c>
      <c r="C3" s="1" t="s">
        <v>104</v>
      </c>
      <c r="D3">
        <v>100</v>
      </c>
      <c r="E3">
        <v>97.744360902255636</v>
      </c>
      <c r="F3" s="10">
        <f>ADVPWAG[[#This Row],[FX Comp 1]]+ADVPWAG[[#This Row],[FX Comp 2]]</f>
        <v>197.74436090225564</v>
      </c>
      <c r="G3" s="6">
        <f>RANK(ADVPWAG[[#This Row],[FX League Total]],ADVPWAG[FX League Total], 0)</f>
        <v>1</v>
      </c>
      <c r="H3">
        <v>81.632653061224488</v>
      </c>
      <c r="I3">
        <v>92.805755395683462</v>
      </c>
      <c r="J3" s="10">
        <f>ADVPWAG[[#This Row],[BB Comp 1]]+ADVPWAG[[#This Row],[BB Comp 2]]</f>
        <v>174.43840845690795</v>
      </c>
      <c r="K3" s="6">
        <f>RANK(ADVPWAG[[#This Row],[BB League Total]],ADVPWAG[BB League Total], 0)</f>
        <v>4</v>
      </c>
      <c r="L3">
        <v>0</v>
      </c>
      <c r="M3">
        <v>0</v>
      </c>
      <c r="N3" s="10">
        <f>ADVPWAG[[#This Row],[UB Comp 1]]+ADVPWAG[[#This Row],[UB Comp 2]]</f>
        <v>0</v>
      </c>
      <c r="O3" s="6">
        <f>RANK(ADVPWAG[[#This Row],[UB League Total]],ADVPWAG[UB League Total], 0)</f>
        <v>10</v>
      </c>
      <c r="P3">
        <v>91.304347826086968</v>
      </c>
      <c r="Q3">
        <v>0</v>
      </c>
      <c r="R3" s="10">
        <f>ADVPWAG[[#This Row],[VT Comp 1]]+ADVPWAG[[#This Row],[VT Comp 2]]</f>
        <v>91.304347826086968</v>
      </c>
      <c r="S3" s="6">
        <f>RANK(ADVPWAG[[#This Row],[VT League Total]],ADVPWAG[VT League Total], 0)</f>
        <v>19</v>
      </c>
      <c r="T3">
        <v>91.93758127438231</v>
      </c>
      <c r="U3">
        <v>99.481865284974091</v>
      </c>
      <c r="V3" s="10">
        <f>ADVPWAG[[#This Row],[AA Comp 1]]+ADVPWAG[[#This Row],[AA Comp 2]]</f>
        <v>191.4194465593564</v>
      </c>
      <c r="W3" s="6">
        <f>RANK(ADVPWAG[[#This Row],[AA League Total]],ADVPWAG[AA League Total], 0)</f>
        <v>2</v>
      </c>
    </row>
    <row r="4" spans="1:23" x14ac:dyDescent="0.2">
      <c r="A4" s="1"/>
      <c r="B4" s="1" t="s">
        <v>65</v>
      </c>
      <c r="C4" s="1" t="s">
        <v>110</v>
      </c>
      <c r="D4">
        <v>95.65217391304347</v>
      </c>
      <c r="E4">
        <v>93.233082706766908</v>
      </c>
      <c r="F4" s="10">
        <f>ADVPWAG[[#This Row],[FX Comp 1]]+ADVPWAG[[#This Row],[FX Comp 2]]</f>
        <v>188.88525661981038</v>
      </c>
      <c r="G4" s="6">
        <f>RANK(ADVPWAG[[#This Row],[FX League Total]],ADVPWAG[FX League Total], 0)</f>
        <v>5</v>
      </c>
      <c r="H4">
        <v>0</v>
      </c>
      <c r="I4">
        <v>0</v>
      </c>
      <c r="J4" s="10">
        <f>ADVPWAG[[#This Row],[BB Comp 1]]+ADVPWAG[[#This Row],[BB Comp 2]]</f>
        <v>0</v>
      </c>
      <c r="K4" s="6">
        <f>RANK(ADVPWAG[[#This Row],[BB League Total]],ADVPWAG[BB League Total], 0)</f>
        <v>19</v>
      </c>
      <c r="L4">
        <v>71.636363636363626</v>
      </c>
      <c r="M4">
        <v>100</v>
      </c>
      <c r="N4" s="10">
        <f>ADVPWAG[[#This Row],[UB Comp 1]]+ADVPWAG[[#This Row],[UB Comp 2]]</f>
        <v>171.63636363636363</v>
      </c>
      <c r="O4" s="6">
        <f>RANK(ADVPWAG[[#This Row],[UB League Total]],ADVPWAG[UB League Total], 0)</f>
        <v>2</v>
      </c>
      <c r="P4">
        <v>93.280632411067202</v>
      </c>
      <c r="Q4">
        <v>96</v>
      </c>
      <c r="R4" s="10">
        <f>ADVPWAG[[#This Row],[VT Comp 1]]+ADVPWAG[[#This Row],[VT Comp 2]]</f>
        <v>189.28063241106719</v>
      </c>
      <c r="S4" s="6">
        <f>RANK(ADVPWAG[[#This Row],[VT League Total]],ADVPWAG[VT League Total], 0)</f>
        <v>6</v>
      </c>
      <c r="T4">
        <v>90.637191157347189</v>
      </c>
      <c r="U4">
        <v>95.466321243523296</v>
      </c>
      <c r="V4" s="10">
        <f>ADVPWAG[[#This Row],[AA Comp 1]]+ADVPWAG[[#This Row],[AA Comp 2]]</f>
        <v>186.1035124008705</v>
      </c>
      <c r="W4" s="6">
        <f>RANK(ADVPWAG[[#This Row],[AA League Total]],ADVPWAG[AA League Total], 0)</f>
        <v>3</v>
      </c>
    </row>
    <row r="5" spans="1:23" x14ac:dyDescent="0.2">
      <c r="A5" s="1"/>
      <c r="B5" s="1" t="s">
        <v>43</v>
      </c>
      <c r="C5" s="1" t="s">
        <v>113</v>
      </c>
      <c r="D5" s="4">
        <v>92.753623188405797</v>
      </c>
      <c r="E5" s="4">
        <v>87.218045112781951</v>
      </c>
      <c r="F5" s="10">
        <f>ADVPWAG[[#This Row],[FX Comp 1]]+ADVPWAG[[#This Row],[FX Comp 2]]</f>
        <v>179.97166830118775</v>
      </c>
      <c r="G5" s="6">
        <f>RANK(ADVPWAG[[#This Row],[FX League Total]],ADVPWAG[FX League Total], 0)</f>
        <v>8</v>
      </c>
      <c r="H5" s="4">
        <v>92.65306122448979</v>
      </c>
      <c r="I5" s="4">
        <v>87.769784172661872</v>
      </c>
      <c r="J5" s="10">
        <f>ADVPWAG[[#This Row],[BB Comp 1]]+ADVPWAG[[#This Row],[BB Comp 2]]</f>
        <v>180.42284539715166</v>
      </c>
      <c r="K5" s="6">
        <f>RANK(ADVPWAG[[#This Row],[BB League Total]],ADVPWAG[BB League Total], 0)</f>
        <v>2</v>
      </c>
      <c r="L5" s="4">
        <v>0</v>
      </c>
      <c r="M5" s="4">
        <v>0</v>
      </c>
      <c r="N5" s="10">
        <f>ADVPWAG[[#This Row],[UB Comp 1]]+ADVPWAG[[#This Row],[UB Comp 2]]</f>
        <v>0</v>
      </c>
      <c r="O5" s="6">
        <f>RANK(ADVPWAG[[#This Row],[UB League Total]],ADVPWAG[UB League Total], 0)</f>
        <v>10</v>
      </c>
      <c r="P5" s="4">
        <v>94.861660079051376</v>
      </c>
      <c r="Q5" s="4">
        <v>92</v>
      </c>
      <c r="R5" s="10">
        <f>ADVPWAG[[#This Row],[VT Comp 1]]+ADVPWAG[[#This Row],[VT Comp 2]]</f>
        <v>186.86166007905138</v>
      </c>
      <c r="S5" s="6">
        <f>RANK(ADVPWAG[[#This Row],[VT League Total]],ADVPWAG[VT League Total], 0)</f>
        <v>7</v>
      </c>
      <c r="T5" s="4">
        <v>94.018205461638487</v>
      </c>
      <c r="U5" s="4">
        <v>91.45077720207253</v>
      </c>
      <c r="V5" s="10">
        <f>ADVPWAG[[#This Row],[AA Comp 1]]+ADVPWAG[[#This Row],[AA Comp 2]]</f>
        <v>185.46898266371102</v>
      </c>
      <c r="W5" s="6">
        <f>RANK(ADVPWAG[[#This Row],[AA League Total]],ADVPWAG[AA League Total], 0)</f>
        <v>4</v>
      </c>
    </row>
    <row r="6" spans="1:23" x14ac:dyDescent="0.2">
      <c r="A6" s="8"/>
      <c r="B6" s="15" t="s">
        <v>42</v>
      </c>
      <c r="C6" s="15" t="s">
        <v>117</v>
      </c>
      <c r="D6">
        <v>99.275362318840564</v>
      </c>
      <c r="E6">
        <v>90.225563909774436</v>
      </c>
      <c r="F6" s="10">
        <f>ADVPWAG[[#This Row],[FX Comp 1]]+ADVPWAG[[#This Row],[FX Comp 2]]</f>
        <v>189.50092622861501</v>
      </c>
      <c r="G6" s="6">
        <f>RANK(ADVPWAG[[#This Row],[FX League Total]],ADVPWAG[FX League Total], 0)</f>
        <v>4</v>
      </c>
      <c r="H6">
        <v>79.591836734693871</v>
      </c>
      <c r="I6">
        <v>82.733812949640296</v>
      </c>
      <c r="J6" s="10">
        <f>ADVPWAG[[#This Row],[BB Comp 1]]+ADVPWAG[[#This Row],[BB Comp 2]]</f>
        <v>162.32564968433417</v>
      </c>
      <c r="K6" s="6">
        <f>RANK(ADVPWAG[[#This Row],[BB League Total]],ADVPWAG[BB League Total], 0)</f>
        <v>5</v>
      </c>
      <c r="L6">
        <v>0</v>
      </c>
      <c r="M6">
        <v>0</v>
      </c>
      <c r="N6" s="10">
        <f>ADVPWAG[[#This Row],[UB Comp 1]]+ADVPWAG[[#This Row],[UB Comp 2]]</f>
        <v>0</v>
      </c>
      <c r="O6" s="6">
        <f>RANK(ADVPWAG[[#This Row],[UB League Total]],ADVPWAG[UB League Total], 0)</f>
        <v>10</v>
      </c>
      <c r="P6">
        <v>94.466403162055329</v>
      </c>
      <c r="Q6">
        <v>96</v>
      </c>
      <c r="R6" s="10">
        <f>ADVPWAG[[#This Row],[VT Comp 1]]+ADVPWAG[[#This Row],[VT Comp 2]]</f>
        <v>190.46640316205531</v>
      </c>
      <c r="S6" s="6">
        <f>RANK(ADVPWAG[[#This Row],[VT League Total]],ADVPWAG[VT League Total], 0)</f>
        <v>4</v>
      </c>
      <c r="T6">
        <v>92.067620286085813</v>
      </c>
      <c r="U6">
        <v>91.968911917098438</v>
      </c>
      <c r="V6" s="10">
        <f>ADVPWAG[[#This Row],[AA Comp 1]]+ADVPWAG[[#This Row],[AA Comp 2]]</f>
        <v>184.03653220318427</v>
      </c>
      <c r="W6" s="6">
        <f>RANK(ADVPWAG[[#This Row],[AA League Total]],ADVPWAG[AA League Total], 0)</f>
        <v>5</v>
      </c>
    </row>
    <row r="7" spans="1:23" x14ac:dyDescent="0.2">
      <c r="A7" s="1"/>
      <c r="B7" s="15" t="s">
        <v>43</v>
      </c>
      <c r="C7" s="15" t="s">
        <v>114</v>
      </c>
      <c r="D7" s="4">
        <v>93.478260869565204</v>
      </c>
      <c r="E7" s="4">
        <v>100</v>
      </c>
      <c r="F7" s="10">
        <f>ADVPWAG[[#This Row],[FX Comp 1]]+ADVPWAG[[#This Row],[FX Comp 2]]</f>
        <v>193.47826086956519</v>
      </c>
      <c r="G7" s="6">
        <f>RANK(ADVPWAG[[#This Row],[FX League Total]],ADVPWAG[FX League Total], 0)</f>
        <v>2</v>
      </c>
      <c r="H7" s="4">
        <v>0</v>
      </c>
      <c r="I7" s="4">
        <v>95.683453237410092</v>
      </c>
      <c r="J7" s="10">
        <f>ADVPWAG[[#This Row],[BB Comp 1]]+ADVPWAG[[#This Row],[BB Comp 2]]</f>
        <v>95.683453237410092</v>
      </c>
      <c r="K7" s="6">
        <f>RANK(ADVPWAG[[#This Row],[BB League Total]],ADVPWAG[BB League Total], 0)</f>
        <v>11</v>
      </c>
      <c r="L7" s="4">
        <v>44.36363636363636</v>
      </c>
      <c r="M7" s="4">
        <v>0</v>
      </c>
      <c r="N7" s="10">
        <f>ADVPWAG[[#This Row],[UB Comp 1]]+ADVPWAG[[#This Row],[UB Comp 2]]</f>
        <v>44.36363636363636</v>
      </c>
      <c r="O7" s="6">
        <f>RANK(ADVPWAG[[#This Row],[UB League Total]],ADVPWAG[UB League Total], 0)</f>
        <v>9</v>
      </c>
      <c r="P7" s="4">
        <v>99.604743083003939</v>
      </c>
      <c r="Q7" s="4">
        <v>96</v>
      </c>
      <c r="R7" s="10">
        <f>ADVPWAG[[#This Row],[VT Comp 1]]+ADVPWAG[[#This Row],[VT Comp 2]]</f>
        <v>195.60474308300394</v>
      </c>
      <c r="S7" s="6">
        <f>RANK(ADVPWAG[[#This Row],[VT League Total]],ADVPWAG[VT League Total], 0)</f>
        <v>2</v>
      </c>
      <c r="T7" s="4">
        <v>82.184655396618993</v>
      </c>
      <c r="U7" s="4">
        <v>100</v>
      </c>
      <c r="V7" s="10">
        <f>ADVPWAG[[#This Row],[AA Comp 1]]+ADVPWAG[[#This Row],[AA Comp 2]]</f>
        <v>182.18465539661901</v>
      </c>
      <c r="W7" s="6">
        <f>RANK(ADVPWAG[[#This Row],[AA League Total]],ADVPWAG[AA League Total], 0)</f>
        <v>6</v>
      </c>
    </row>
    <row r="8" spans="1:23" x14ac:dyDescent="0.2">
      <c r="A8" s="1"/>
      <c r="B8" s="15" t="s">
        <v>43</v>
      </c>
      <c r="C8" s="15" t="s">
        <v>115</v>
      </c>
      <c r="D8">
        <v>96.376811594202891</v>
      </c>
      <c r="E8">
        <v>88.721804511278194</v>
      </c>
      <c r="F8" s="10">
        <f>ADVPWAG[[#This Row],[FX Comp 1]]+ADVPWAG[[#This Row],[FX Comp 2]]</f>
        <v>185.09861610548109</v>
      </c>
      <c r="G8" s="6">
        <f>RANK(ADVPWAG[[#This Row],[FX League Total]],ADVPWAG[FX League Total], 0)</f>
        <v>7</v>
      </c>
      <c r="H8">
        <v>78.367346938775512</v>
      </c>
      <c r="I8">
        <v>82.733812949640296</v>
      </c>
      <c r="J8" s="10">
        <f>ADVPWAG[[#This Row],[BB Comp 1]]+ADVPWAG[[#This Row],[BB Comp 2]]</f>
        <v>161.10115988841579</v>
      </c>
      <c r="K8" s="6">
        <f>RANK(ADVPWAG[[#This Row],[BB League Total]],ADVPWAG[BB League Total], 0)</f>
        <v>6</v>
      </c>
      <c r="L8">
        <v>0</v>
      </c>
      <c r="M8">
        <v>0</v>
      </c>
      <c r="N8" s="10">
        <f>ADVPWAG[[#This Row],[UB Comp 1]]+ADVPWAG[[#This Row],[UB Comp 2]]</f>
        <v>0</v>
      </c>
      <c r="O8" s="6">
        <f>RANK(ADVPWAG[[#This Row],[UB League Total]],ADVPWAG[UB League Total], 0)</f>
        <v>10</v>
      </c>
      <c r="P8">
        <v>95.256916996047437</v>
      </c>
      <c r="Q8">
        <v>85.6</v>
      </c>
      <c r="R8" s="10">
        <f>ADVPWAG[[#This Row],[VT Comp 1]]+ADVPWAG[[#This Row],[VT Comp 2]]</f>
        <v>180.85691699604743</v>
      </c>
      <c r="S8" s="6">
        <f>RANK(ADVPWAG[[#This Row],[VT League Total]],ADVPWAG[VT League Total], 0)</f>
        <v>8</v>
      </c>
      <c r="T8">
        <v>90.897269180754222</v>
      </c>
      <c r="U8">
        <v>88.082901554404145</v>
      </c>
      <c r="V8" s="10">
        <f>ADVPWAG[[#This Row],[AA Comp 1]]+ADVPWAG[[#This Row],[AA Comp 2]]</f>
        <v>178.98017073515837</v>
      </c>
      <c r="W8" s="6">
        <f>RANK(ADVPWAG[[#This Row],[AA League Total]],ADVPWAG[AA League Total], 0)</f>
        <v>7</v>
      </c>
    </row>
    <row r="9" spans="1:23" x14ac:dyDescent="0.2">
      <c r="A9" s="1"/>
      <c r="B9" s="15" t="s">
        <v>42</v>
      </c>
      <c r="C9" s="15" t="s">
        <v>119</v>
      </c>
      <c r="D9" s="4">
        <v>88.405797101449267</v>
      </c>
      <c r="E9" s="4">
        <v>97.744360902255636</v>
      </c>
      <c r="F9" s="10">
        <f>ADVPWAG[[#This Row],[FX Comp 1]]+ADVPWAG[[#This Row],[FX Comp 2]]</f>
        <v>186.15015800370492</v>
      </c>
      <c r="G9" s="6">
        <f>RANK(ADVPWAG[[#This Row],[FX League Total]],ADVPWAG[FX League Total], 0)</f>
        <v>6</v>
      </c>
      <c r="H9" s="4">
        <v>67.755102040816325</v>
      </c>
      <c r="I9" s="4">
        <v>80.57553956834532</v>
      </c>
      <c r="J9" s="10">
        <f>ADVPWAG[[#This Row],[BB Comp 1]]+ADVPWAG[[#This Row],[BB Comp 2]]</f>
        <v>148.33064160916166</v>
      </c>
      <c r="K9" s="6">
        <f>RANK(ADVPWAG[[#This Row],[BB League Total]],ADVPWAG[BB League Total], 0)</f>
        <v>7</v>
      </c>
      <c r="L9" s="4">
        <v>0</v>
      </c>
      <c r="M9" s="4">
        <v>0</v>
      </c>
      <c r="N9" s="10">
        <f>ADVPWAG[[#This Row],[UB Comp 1]]+ADVPWAG[[#This Row],[UB Comp 2]]</f>
        <v>0</v>
      </c>
      <c r="O9" s="6">
        <f>RANK(ADVPWAG[[#This Row],[UB League Total]],ADVPWAG[UB League Total], 0)</f>
        <v>10</v>
      </c>
      <c r="P9" s="4">
        <v>95.256916996047437</v>
      </c>
      <c r="Q9" s="4">
        <v>94.4</v>
      </c>
      <c r="R9" s="10">
        <f>ADVPWAG[[#This Row],[VT Comp 1]]+ADVPWAG[[#This Row],[VT Comp 2]]</f>
        <v>189.65691699604744</v>
      </c>
      <c r="S9" s="6">
        <f>RANK(ADVPWAG[[#This Row],[VT League Total]],ADVPWAG[VT League Total], 0)</f>
        <v>5</v>
      </c>
      <c r="T9" s="4">
        <v>84.655396618985677</v>
      </c>
      <c r="U9" s="4">
        <v>93.264248704663217</v>
      </c>
      <c r="V9" s="10">
        <f>ADVPWAG[[#This Row],[AA Comp 1]]+ADVPWAG[[#This Row],[AA Comp 2]]</f>
        <v>177.91964532364889</v>
      </c>
      <c r="W9" s="6">
        <f>RANK(ADVPWAG[[#This Row],[AA League Total]],ADVPWAG[AA League Total], 0)</f>
        <v>8</v>
      </c>
    </row>
    <row r="10" spans="1:23" x14ac:dyDescent="0.2">
      <c r="A10" s="1"/>
      <c r="B10" s="15" t="s">
        <v>42</v>
      </c>
      <c r="C10" s="15" t="s">
        <v>120</v>
      </c>
      <c r="D10">
        <v>82.608695652173907</v>
      </c>
      <c r="E10">
        <v>93.984962406015043</v>
      </c>
      <c r="F10" s="10">
        <f>ADVPWAG[[#This Row],[FX Comp 1]]+ADVPWAG[[#This Row],[FX Comp 2]]</f>
        <v>176.59365805818896</v>
      </c>
      <c r="G10" s="6">
        <f>RANK(ADVPWAG[[#This Row],[FX League Total]],ADVPWAG[FX League Total], 0)</f>
        <v>9</v>
      </c>
      <c r="H10">
        <v>59.591836734693885</v>
      </c>
      <c r="I10">
        <v>87.050359712230218</v>
      </c>
      <c r="J10" s="10">
        <f>ADVPWAG[[#This Row],[BB Comp 1]]+ADVPWAG[[#This Row],[BB Comp 2]]</f>
        <v>146.64219644692412</v>
      </c>
      <c r="K10" s="6">
        <f>RANK(ADVPWAG[[#This Row],[BB League Total]],ADVPWAG[BB League Total], 0)</f>
        <v>8</v>
      </c>
      <c r="L10">
        <v>0</v>
      </c>
      <c r="M10">
        <v>0</v>
      </c>
      <c r="N10" s="10">
        <f>ADVPWAG[[#This Row],[UB Comp 1]]+ADVPWAG[[#This Row],[UB Comp 2]]</f>
        <v>0</v>
      </c>
      <c r="O10" s="6">
        <f>RANK(ADVPWAG[[#This Row],[UB League Total]],ADVPWAG[UB League Total], 0)</f>
        <v>10</v>
      </c>
      <c r="P10">
        <v>100</v>
      </c>
      <c r="Q10">
        <v>99.2</v>
      </c>
      <c r="R10" s="10">
        <f>ADVPWAG[[#This Row],[VT Comp 1]]+ADVPWAG[[#This Row],[VT Comp 2]]</f>
        <v>199.2</v>
      </c>
      <c r="S10" s="6">
        <f>RANK(ADVPWAG[[#This Row],[VT League Total]],ADVPWAG[VT League Total], 0)</f>
        <v>1</v>
      </c>
      <c r="T10">
        <v>81.534460338101439</v>
      </c>
      <c r="U10">
        <v>95.854922279792746</v>
      </c>
      <c r="V10" s="10">
        <f>ADVPWAG[[#This Row],[AA Comp 1]]+ADVPWAG[[#This Row],[AA Comp 2]]</f>
        <v>177.38938261789417</v>
      </c>
      <c r="W10" s="6">
        <f>RANK(ADVPWAG[[#This Row],[AA League Total]],ADVPWAG[AA League Total], 0)</f>
        <v>9</v>
      </c>
    </row>
    <row r="11" spans="1:23" x14ac:dyDescent="0.2">
      <c r="A11" s="8"/>
      <c r="B11" s="15" t="s">
        <v>43</v>
      </c>
      <c r="C11" s="15" t="s">
        <v>116</v>
      </c>
      <c r="D11" s="4">
        <v>97.826086956521735</v>
      </c>
      <c r="E11" s="4">
        <v>0</v>
      </c>
      <c r="F11" s="10">
        <f>ADVPWAG[[#This Row],[FX Comp 1]]+ADVPWAG[[#This Row],[FX Comp 2]]</f>
        <v>97.826086956521735</v>
      </c>
      <c r="G11" s="6">
        <f>RANK(ADVPWAG[[#This Row],[FX League Total]],ADVPWAG[FX League Total], 0)</f>
        <v>10</v>
      </c>
      <c r="H11" s="4">
        <v>93.061224489795919</v>
      </c>
      <c r="I11" s="4">
        <v>91.366906474820169</v>
      </c>
      <c r="J11" s="10">
        <f>ADVPWAG[[#This Row],[BB Comp 1]]+ADVPWAG[[#This Row],[BB Comp 2]]</f>
        <v>184.42813096461609</v>
      </c>
      <c r="K11" s="6">
        <f>RANK(ADVPWAG[[#This Row],[BB League Total]],ADVPWAG[BB League Total], 0)</f>
        <v>1</v>
      </c>
      <c r="L11" s="4">
        <v>0</v>
      </c>
      <c r="M11" s="4">
        <v>84.337349397590373</v>
      </c>
      <c r="N11" s="10">
        <f>ADVPWAG[[#This Row],[UB Comp 1]]+ADVPWAG[[#This Row],[UB Comp 2]]</f>
        <v>84.337349397590373</v>
      </c>
      <c r="O11" s="6">
        <f>RANK(ADVPWAG[[#This Row],[UB League Total]],ADVPWAG[UB League Total], 0)</f>
        <v>5</v>
      </c>
      <c r="P11" s="4">
        <v>97.233201581027672</v>
      </c>
      <c r="Q11" s="4">
        <v>0</v>
      </c>
      <c r="R11" s="10">
        <f>ADVPWAG[[#This Row],[VT Comp 1]]+ADVPWAG[[#This Row],[VT Comp 2]]</f>
        <v>97.233201581027672</v>
      </c>
      <c r="S11" s="6">
        <f>RANK(ADVPWAG[[#This Row],[VT League Total]],ADVPWAG[VT League Total], 0)</f>
        <v>11</v>
      </c>
      <c r="T11" s="4">
        <v>96.749024707412218</v>
      </c>
      <c r="U11" s="4">
        <v>60.103626943005182</v>
      </c>
      <c r="V11" s="10">
        <f>ADVPWAG[[#This Row],[AA Comp 1]]+ADVPWAG[[#This Row],[AA Comp 2]]</f>
        <v>156.85265165041739</v>
      </c>
      <c r="W11" s="6">
        <f>RANK(ADVPWAG[[#This Row],[AA League Total]],ADVPWAG[AA League Total], 0)</f>
        <v>10</v>
      </c>
    </row>
    <row r="12" spans="1:23" x14ac:dyDescent="0.2">
      <c r="A12" s="1"/>
      <c r="B12" s="1" t="s">
        <v>52</v>
      </c>
      <c r="C12" s="1" t="s">
        <v>112</v>
      </c>
      <c r="D12">
        <v>92.028985507246361</v>
      </c>
      <c r="E12">
        <v>0</v>
      </c>
      <c r="F12" s="10">
        <f>ADVPWAG[[#This Row],[FX Comp 1]]+ADVPWAG[[#This Row],[FX Comp 2]]</f>
        <v>92.028985507246361</v>
      </c>
      <c r="G12" s="6">
        <f>RANK(ADVPWAG[[#This Row],[FX League Total]],ADVPWAG[FX League Total], 0)</f>
        <v>16</v>
      </c>
      <c r="H12">
        <v>87.346938775510196</v>
      </c>
      <c r="I12">
        <v>89.208633093525194</v>
      </c>
      <c r="J12" s="10">
        <f>ADVPWAG[[#This Row],[BB Comp 1]]+ADVPWAG[[#This Row],[BB Comp 2]]</f>
        <v>176.55557186903539</v>
      </c>
      <c r="K12" s="6">
        <f>RANK(ADVPWAG[[#This Row],[BB League Total]],ADVPWAG[BB League Total], 0)</f>
        <v>3</v>
      </c>
      <c r="L12">
        <v>0</v>
      </c>
      <c r="M12">
        <v>81.92771084337349</v>
      </c>
      <c r="N12" s="10">
        <f>ADVPWAG[[#This Row],[UB Comp 1]]+ADVPWAG[[#This Row],[UB Comp 2]]</f>
        <v>81.92771084337349</v>
      </c>
      <c r="O12" s="6">
        <f>RANK(ADVPWAG[[#This Row],[UB League Total]],ADVPWAG[UB League Total], 0)</f>
        <v>6</v>
      </c>
      <c r="P12">
        <v>95.65217391304347</v>
      </c>
      <c r="Q12">
        <v>0</v>
      </c>
      <c r="R12" s="10">
        <f>ADVPWAG[[#This Row],[VT Comp 1]]+ADVPWAG[[#This Row],[VT Comp 2]]</f>
        <v>95.65217391304347</v>
      </c>
      <c r="S12" s="6">
        <f>RANK(ADVPWAG[[#This Row],[VT League Total]],ADVPWAG[VT League Total], 0)</f>
        <v>14</v>
      </c>
      <c r="T12">
        <v>92.327698309492845</v>
      </c>
      <c r="U12">
        <v>58.549222797927456</v>
      </c>
      <c r="V12" s="10">
        <f>ADVPWAG[[#This Row],[AA Comp 1]]+ADVPWAG[[#This Row],[AA Comp 2]]</f>
        <v>150.87692110742029</v>
      </c>
      <c r="W12" s="6">
        <f>RANK(ADVPWAG[[#This Row],[AA League Total]],ADVPWAG[AA League Total], 0)</f>
        <v>11</v>
      </c>
    </row>
    <row r="13" spans="1:23" x14ac:dyDescent="0.2">
      <c r="A13" s="1"/>
      <c r="B13" s="1" t="s">
        <v>51</v>
      </c>
      <c r="C13" s="1" t="s">
        <v>107</v>
      </c>
      <c r="D13">
        <v>0</v>
      </c>
      <c r="E13">
        <v>74.436090225563902</v>
      </c>
      <c r="F13" s="10">
        <f>ADVPWAG[[#This Row],[FX Comp 1]]+ADVPWAG[[#This Row],[FX Comp 2]]</f>
        <v>74.436090225563902</v>
      </c>
      <c r="G13" s="6">
        <f>RANK(ADVPWAG[[#This Row],[FX League Total]],ADVPWAG[FX League Total], 0)</f>
        <v>21</v>
      </c>
      <c r="H13">
        <v>0</v>
      </c>
      <c r="I13">
        <v>64.028776978417284</v>
      </c>
      <c r="J13" s="10">
        <f>ADVPWAG[[#This Row],[BB Comp 1]]+ADVPWAG[[#This Row],[BB Comp 2]]</f>
        <v>64.028776978417284</v>
      </c>
      <c r="K13" s="6">
        <f>RANK(ADVPWAG[[#This Row],[BB League Total]],ADVPWAG[BB League Total], 0)</f>
        <v>16</v>
      </c>
      <c r="L13">
        <v>0</v>
      </c>
      <c r="M13">
        <v>0</v>
      </c>
      <c r="N13" s="10">
        <f>ADVPWAG[[#This Row],[UB Comp 1]]+ADVPWAG[[#This Row],[UB Comp 2]]</f>
        <v>0</v>
      </c>
      <c r="O13" s="6">
        <f>RANK(ADVPWAG[[#This Row],[UB League Total]],ADVPWAG[UB League Total], 0)</f>
        <v>10</v>
      </c>
      <c r="P13">
        <v>95.256916996047437</v>
      </c>
      <c r="Q13">
        <v>0</v>
      </c>
      <c r="R13" s="10">
        <f>ADVPWAG[[#This Row],[VT Comp 1]]+ADVPWAG[[#This Row],[VT Comp 2]]</f>
        <v>95.256916996047437</v>
      </c>
      <c r="S13" s="6">
        <f>RANK(ADVPWAG[[#This Row],[VT League Total]],ADVPWAG[VT League Total], 0)</f>
        <v>15</v>
      </c>
      <c r="T13">
        <v>31.339401820546165</v>
      </c>
      <c r="U13">
        <v>80.310880829015531</v>
      </c>
      <c r="V13" s="10">
        <f>ADVPWAG[[#This Row],[AA Comp 1]]+ADVPWAG[[#This Row],[AA Comp 2]]</f>
        <v>111.65028264956169</v>
      </c>
      <c r="W13" s="6">
        <f>RANK(ADVPWAG[[#This Row],[AA League Total]],ADVPWAG[AA League Total], 0)</f>
        <v>12</v>
      </c>
    </row>
    <row r="14" spans="1:23" x14ac:dyDescent="0.2">
      <c r="A14" s="8"/>
      <c r="B14" s="15" t="s">
        <v>53</v>
      </c>
      <c r="C14" s="15" t="s">
        <v>121</v>
      </c>
      <c r="D14">
        <v>92.753623188405797</v>
      </c>
      <c r="E14"/>
      <c r="F14" s="10">
        <f>ADVPWAG[[#This Row],[FX Comp 1]]+ADVPWAG[[#This Row],[FX Comp 2]]</f>
        <v>92.753623188405797</v>
      </c>
      <c r="G14" s="6">
        <f>RANK(ADVPWAG[[#This Row],[FX League Total]],ADVPWAG[FX League Total], 0)</f>
        <v>14</v>
      </c>
      <c r="H14">
        <v>0</v>
      </c>
      <c r="I14"/>
      <c r="J14" s="10">
        <f>ADVPWAG[[#This Row],[BB Comp 1]]+ADVPWAG[[#This Row],[BB Comp 2]]</f>
        <v>0</v>
      </c>
      <c r="K14" s="6">
        <f>RANK(ADVPWAG[[#This Row],[BB League Total]],ADVPWAG[BB League Total], 0)</f>
        <v>19</v>
      </c>
      <c r="L14">
        <v>100</v>
      </c>
      <c r="M14"/>
      <c r="N14" s="10">
        <f>ADVPWAG[[#This Row],[UB Comp 1]]+ADVPWAG[[#This Row],[UB Comp 2]]</f>
        <v>100</v>
      </c>
      <c r="O14" s="6">
        <f>RANK(ADVPWAG[[#This Row],[UB League Total]],ADVPWAG[UB League Total], 0)</f>
        <v>3</v>
      </c>
      <c r="P14">
        <v>94.071146245059296</v>
      </c>
      <c r="Q14"/>
      <c r="R14" s="10">
        <f>ADVPWAG[[#This Row],[VT Comp 1]]+ADVPWAG[[#This Row],[VT Comp 2]]</f>
        <v>94.071146245059296</v>
      </c>
      <c r="S14" s="6">
        <f>RANK(ADVPWAG[[#This Row],[VT League Total]],ADVPWAG[VT League Total], 0)</f>
        <v>16</v>
      </c>
      <c r="T14">
        <v>100</v>
      </c>
      <c r="U14"/>
      <c r="V14" s="10">
        <f>ADVPWAG[[#This Row],[AA Comp 1]]+ADVPWAG[[#This Row],[AA Comp 2]]</f>
        <v>100</v>
      </c>
      <c r="W14" s="6">
        <f>RANK(ADVPWAG[[#This Row],[AA League Total]],ADVPWAG[AA League Total], 0)</f>
        <v>13</v>
      </c>
    </row>
    <row r="15" spans="1:23" x14ac:dyDescent="0.2">
      <c r="A15" s="8"/>
      <c r="B15" s="15" t="s">
        <v>79</v>
      </c>
      <c r="C15" s="15" t="s">
        <v>328</v>
      </c>
      <c r="D15"/>
      <c r="E15">
        <v>94.73684210526315</v>
      </c>
      <c r="F15" s="10">
        <f>ADVPWAG[[#This Row],[FX Comp 1]]+ADVPWAG[[#This Row],[FX Comp 2]]</f>
        <v>94.73684210526315</v>
      </c>
      <c r="G15" s="6">
        <f>RANK(ADVPWAG[[#This Row],[FX League Total]],ADVPWAG[FX League Total], 0)</f>
        <v>12</v>
      </c>
      <c r="H15"/>
      <c r="I15">
        <v>100</v>
      </c>
      <c r="J15" s="10">
        <f>ADVPWAG[[#This Row],[BB Comp 1]]+ADVPWAG[[#This Row],[BB Comp 2]]</f>
        <v>100</v>
      </c>
      <c r="K15" s="6">
        <f>RANK(ADVPWAG[[#This Row],[BB League Total]],ADVPWAG[BB League Total], 0)</f>
        <v>9</v>
      </c>
      <c r="L15"/>
      <c r="M15">
        <v>0</v>
      </c>
      <c r="N15" s="10">
        <f>ADVPWAG[[#This Row],[UB Comp 1]]+ADVPWAG[[#This Row],[UB Comp 2]]</f>
        <v>0</v>
      </c>
      <c r="O15" s="6">
        <f>RANK(ADVPWAG[[#This Row],[UB League Total]],ADVPWAG[UB League Total], 0)</f>
        <v>10</v>
      </c>
      <c r="P15"/>
      <c r="Q15">
        <v>96</v>
      </c>
      <c r="R15" s="10">
        <f>ADVPWAG[[#This Row],[VT Comp 1]]+ADVPWAG[[#This Row],[VT Comp 2]]</f>
        <v>96</v>
      </c>
      <c r="S15" s="6">
        <f>RANK(ADVPWAG[[#This Row],[VT League Total]],ADVPWAG[VT League Total], 0)</f>
        <v>12</v>
      </c>
      <c r="T15"/>
      <c r="U15">
        <v>99.740932642487053</v>
      </c>
      <c r="V15" s="10">
        <f>ADVPWAG[[#This Row],[AA Comp 1]]+ADVPWAG[[#This Row],[AA Comp 2]]</f>
        <v>99.740932642487053</v>
      </c>
      <c r="W15" s="6">
        <f>RANK(ADVPWAG[[#This Row],[AA League Total]],ADVPWAG[AA League Total], 0)</f>
        <v>14</v>
      </c>
    </row>
    <row r="16" spans="1:23" x14ac:dyDescent="0.2">
      <c r="A16" s="1"/>
      <c r="B16" s="15" t="s">
        <v>235</v>
      </c>
      <c r="C16" s="15" t="s">
        <v>327</v>
      </c>
      <c r="E16" s="4">
        <v>90.977443609022544</v>
      </c>
      <c r="F16" s="10">
        <f>ADVPWAG[[#This Row],[FX Comp 1]]+ADVPWAG[[#This Row],[FX Comp 2]]</f>
        <v>90.977443609022544</v>
      </c>
      <c r="G16" s="6">
        <f>RANK(ADVPWAG[[#This Row],[FX League Total]],ADVPWAG[FX League Total], 0)</f>
        <v>18</v>
      </c>
      <c r="I16" s="4">
        <v>0</v>
      </c>
      <c r="J16" s="10">
        <f>ADVPWAG[[#This Row],[BB Comp 1]]+ADVPWAG[[#This Row],[BB Comp 2]]</f>
        <v>0</v>
      </c>
      <c r="K16" s="6">
        <f>RANK(ADVPWAG[[#This Row],[BB League Total]],ADVPWAG[BB League Total], 0)</f>
        <v>19</v>
      </c>
      <c r="M16" s="4">
        <v>97.99196787148594</v>
      </c>
      <c r="N16" s="10">
        <f>ADVPWAG[[#This Row],[UB Comp 1]]+ADVPWAG[[#This Row],[UB Comp 2]]</f>
        <v>97.99196787148594</v>
      </c>
      <c r="O16" s="6">
        <f>RANK(ADVPWAG[[#This Row],[UB League Total]],ADVPWAG[UB League Total], 0)</f>
        <v>4</v>
      </c>
      <c r="Q16" s="4">
        <v>100</v>
      </c>
      <c r="R16" s="10">
        <f>ADVPWAG[[#This Row],[VT Comp 1]]+ADVPWAG[[#This Row],[VT Comp 2]]</f>
        <v>100</v>
      </c>
      <c r="S16" s="6">
        <f>RANK(ADVPWAG[[#This Row],[VT League Total]],ADVPWAG[VT League Total], 0)</f>
        <v>9</v>
      </c>
      <c r="U16" s="4">
        <v>95.336787564766837</v>
      </c>
      <c r="V16" s="10">
        <f>ADVPWAG[[#This Row],[AA Comp 1]]+ADVPWAG[[#This Row],[AA Comp 2]]</f>
        <v>95.336787564766837</v>
      </c>
      <c r="W16" s="6">
        <f>RANK(ADVPWAG[[#This Row],[AA League Total]],ADVPWAG[AA League Total], 0)</f>
        <v>15</v>
      </c>
    </row>
    <row r="17" spans="1:23" x14ac:dyDescent="0.2">
      <c r="A17" s="1"/>
      <c r="B17" s="1" t="s">
        <v>43</v>
      </c>
      <c r="C17" s="1" t="s">
        <v>329</v>
      </c>
      <c r="D17"/>
      <c r="E17">
        <v>93.233082706766908</v>
      </c>
      <c r="F17" s="10">
        <f>ADVPWAG[[#This Row],[FX Comp 1]]+ADVPWAG[[#This Row],[FX Comp 2]]</f>
        <v>93.233082706766908</v>
      </c>
      <c r="G17" s="6">
        <f>RANK(ADVPWAG[[#This Row],[FX League Total]],ADVPWAG[FX League Total], 0)</f>
        <v>13</v>
      </c>
      <c r="H17"/>
      <c r="I17">
        <v>90.647482014388487</v>
      </c>
      <c r="J17" s="10">
        <f>ADVPWAG[[#This Row],[BB Comp 1]]+ADVPWAG[[#This Row],[BB Comp 2]]</f>
        <v>90.647482014388487</v>
      </c>
      <c r="K17" s="6">
        <f>RANK(ADVPWAG[[#This Row],[BB League Total]],ADVPWAG[BB League Total], 0)</f>
        <v>12</v>
      </c>
      <c r="L17"/>
      <c r="M17">
        <v>0</v>
      </c>
      <c r="N17" s="10">
        <f>ADVPWAG[[#This Row],[UB Comp 1]]+ADVPWAG[[#This Row],[UB Comp 2]]</f>
        <v>0</v>
      </c>
      <c r="O17" s="6">
        <f>RANK(ADVPWAG[[#This Row],[UB League Total]],ADVPWAG[UB League Total], 0)</f>
        <v>10</v>
      </c>
      <c r="P17"/>
      <c r="Q17">
        <v>0</v>
      </c>
      <c r="R17" s="10">
        <f>ADVPWAG[[#This Row],[VT Comp 1]]+ADVPWAG[[#This Row],[VT Comp 2]]</f>
        <v>0</v>
      </c>
      <c r="S17" s="6">
        <f>RANK(ADVPWAG[[#This Row],[VT League Total]],ADVPWAG[VT League Total], 0)</f>
        <v>20</v>
      </c>
      <c r="T17"/>
      <c r="U17">
        <v>94.818652849740943</v>
      </c>
      <c r="V17" s="10">
        <f>ADVPWAG[[#This Row],[AA Comp 1]]+ADVPWAG[[#This Row],[AA Comp 2]]</f>
        <v>94.818652849740943</v>
      </c>
      <c r="W17" s="6">
        <f>RANK(ADVPWAG[[#This Row],[AA League Total]],ADVPWAG[AA League Total], 0)</f>
        <v>16</v>
      </c>
    </row>
    <row r="18" spans="1:23" x14ac:dyDescent="0.2">
      <c r="A18" s="1"/>
      <c r="B18" s="1" t="s">
        <v>43</v>
      </c>
      <c r="C18" s="1" t="s">
        <v>334</v>
      </c>
      <c r="E18" s="4">
        <v>96.240601503759393</v>
      </c>
      <c r="F18" s="10">
        <f>ADVPWAG[[#This Row],[FX Comp 1]]+ADVPWAG[[#This Row],[FX Comp 2]]</f>
        <v>96.240601503759393</v>
      </c>
      <c r="G18" s="6">
        <f>RANK(ADVPWAG[[#This Row],[FX League Total]],ADVPWAG[FX League Total], 0)</f>
        <v>11</v>
      </c>
      <c r="I18" s="4">
        <v>86.330935251798564</v>
      </c>
      <c r="J18" s="10">
        <f>ADVPWAG[[#This Row],[BB Comp 1]]+ADVPWAG[[#This Row],[BB Comp 2]]</f>
        <v>86.330935251798564</v>
      </c>
      <c r="K18" s="6">
        <f>RANK(ADVPWAG[[#This Row],[BB League Total]],ADVPWAG[BB League Total], 0)</f>
        <v>13</v>
      </c>
      <c r="M18" s="4">
        <v>0</v>
      </c>
      <c r="N18" s="10">
        <f>ADVPWAG[[#This Row],[UB Comp 1]]+ADVPWAG[[#This Row],[UB Comp 2]]</f>
        <v>0</v>
      </c>
      <c r="O18" s="6">
        <f>RANK(ADVPWAG[[#This Row],[UB League Total]],ADVPWAG[UB League Total], 0)</f>
        <v>10</v>
      </c>
      <c r="Q18" s="4">
        <v>0</v>
      </c>
      <c r="R18" s="10">
        <f>ADVPWAG[[#This Row],[VT Comp 1]]+ADVPWAG[[#This Row],[VT Comp 2]]</f>
        <v>0</v>
      </c>
      <c r="S18" s="6">
        <f>RANK(ADVPWAG[[#This Row],[VT League Total]],ADVPWAG[VT League Total], 0)</f>
        <v>20</v>
      </c>
      <c r="U18" s="4">
        <v>94.559585492227967</v>
      </c>
      <c r="V18" s="10">
        <f>ADVPWAG[[#This Row],[AA Comp 1]]+ADVPWAG[[#This Row],[AA Comp 2]]</f>
        <v>94.559585492227967</v>
      </c>
      <c r="W18" s="6">
        <f>RANK(ADVPWAG[[#This Row],[AA League Total]],ADVPWAG[AA League Total], 0)</f>
        <v>17</v>
      </c>
    </row>
    <row r="19" spans="1:23" x14ac:dyDescent="0.2">
      <c r="A19" s="1"/>
      <c r="B19" s="1" t="s">
        <v>103</v>
      </c>
      <c r="C19" s="1" t="s">
        <v>109</v>
      </c>
      <c r="D19" s="4">
        <v>0</v>
      </c>
      <c r="F19" s="10">
        <f>ADVPWAG[[#This Row],[FX Comp 1]]+ADVPWAG[[#This Row],[FX Comp 2]]</f>
        <v>0</v>
      </c>
      <c r="G19" s="6">
        <f>RANK(ADVPWAG[[#This Row],[FX League Total]],ADVPWAG[FX League Total], 0)</f>
        <v>23</v>
      </c>
      <c r="H19" s="4">
        <v>100</v>
      </c>
      <c r="J19" s="10">
        <f>ADVPWAG[[#This Row],[BB Comp 1]]+ADVPWAG[[#This Row],[BB Comp 2]]</f>
        <v>100</v>
      </c>
      <c r="K19" s="6">
        <f>RANK(ADVPWAG[[#This Row],[BB League Total]],ADVPWAG[BB League Total], 0)</f>
        <v>9</v>
      </c>
      <c r="L19" s="4">
        <v>78.181818181818187</v>
      </c>
      <c r="N19" s="10">
        <f>ADVPWAG[[#This Row],[UB Comp 1]]+ADVPWAG[[#This Row],[UB Comp 2]]</f>
        <v>78.181818181818187</v>
      </c>
      <c r="O19" s="6">
        <f>RANK(ADVPWAG[[#This Row],[UB League Total]],ADVPWAG[UB League Total], 0)</f>
        <v>7</v>
      </c>
      <c r="P19" s="4">
        <v>95.889328063241109</v>
      </c>
      <c r="R19" s="10">
        <f>ADVPWAG[[#This Row],[VT Comp 1]]+ADVPWAG[[#This Row],[VT Comp 2]]</f>
        <v>95.889328063241109</v>
      </c>
      <c r="S19" s="6">
        <f>RANK(ADVPWAG[[#This Row],[VT League Total]],ADVPWAG[VT League Total], 0)</f>
        <v>13</v>
      </c>
      <c r="T19" s="4">
        <v>91.365409622886858</v>
      </c>
      <c r="V19" s="10">
        <f>ADVPWAG[[#This Row],[AA Comp 1]]+ADVPWAG[[#This Row],[AA Comp 2]]</f>
        <v>91.365409622886858</v>
      </c>
      <c r="W19" s="6">
        <f>RANK(ADVPWAG[[#This Row],[AA League Total]],ADVPWAG[AA League Total], 0)</f>
        <v>18</v>
      </c>
    </row>
    <row r="20" spans="1:23" x14ac:dyDescent="0.2">
      <c r="A20" s="1"/>
      <c r="B20" s="1" t="s">
        <v>235</v>
      </c>
      <c r="C20" s="1" t="s">
        <v>332</v>
      </c>
      <c r="D20"/>
      <c r="E20">
        <v>90.977443609022558</v>
      </c>
      <c r="F20" s="10">
        <f>ADVPWAG[[#This Row],[FX Comp 1]]+ADVPWAG[[#This Row],[FX Comp 2]]</f>
        <v>90.977443609022558</v>
      </c>
      <c r="G20" s="6">
        <f>RANK(ADVPWAG[[#This Row],[FX League Total]],ADVPWAG[FX League Total], 0)</f>
        <v>17</v>
      </c>
      <c r="H20"/>
      <c r="I20">
        <v>81.294964028776988</v>
      </c>
      <c r="J20" s="10">
        <f>ADVPWAG[[#This Row],[BB Comp 1]]+ADVPWAG[[#This Row],[BB Comp 2]]</f>
        <v>81.294964028776988</v>
      </c>
      <c r="K20" s="6">
        <f>RANK(ADVPWAG[[#This Row],[BB League Total]],ADVPWAG[BB League Total], 0)</f>
        <v>15</v>
      </c>
      <c r="L20"/>
      <c r="M20">
        <v>0</v>
      </c>
      <c r="N20" s="10">
        <f>ADVPWAG[[#This Row],[UB Comp 1]]+ADVPWAG[[#This Row],[UB Comp 2]]</f>
        <v>0</v>
      </c>
      <c r="O20" s="6">
        <f>RANK(ADVPWAG[[#This Row],[UB League Total]],ADVPWAG[UB League Total], 0)</f>
        <v>10</v>
      </c>
      <c r="P20"/>
      <c r="Q20">
        <v>92</v>
      </c>
      <c r="R20" s="10">
        <f>ADVPWAG[[#This Row],[VT Comp 1]]+ADVPWAG[[#This Row],[VT Comp 2]]</f>
        <v>92</v>
      </c>
      <c r="S20" s="6">
        <f>RANK(ADVPWAG[[#This Row],[VT League Total]],ADVPWAG[VT League Total], 0)</f>
        <v>18</v>
      </c>
      <c r="T20"/>
      <c r="U20">
        <v>90.414507772020741</v>
      </c>
      <c r="V20" s="10">
        <f>ADVPWAG[[#This Row],[AA Comp 1]]+ADVPWAG[[#This Row],[AA Comp 2]]</f>
        <v>90.414507772020741</v>
      </c>
      <c r="W20" s="6">
        <f>RANK(ADVPWAG[[#This Row],[AA League Total]],ADVPWAG[AA League Total], 0)</f>
        <v>19</v>
      </c>
    </row>
    <row r="21" spans="1:23" x14ac:dyDescent="0.2">
      <c r="A21" s="1"/>
      <c r="B21" s="1" t="s">
        <v>51</v>
      </c>
      <c r="C21" s="1" t="s">
        <v>326</v>
      </c>
      <c r="D21"/>
      <c r="E21">
        <v>92.481203007518801</v>
      </c>
      <c r="F21" s="10">
        <f>ADVPWAG[[#This Row],[FX Comp 1]]+ADVPWAG[[#This Row],[FX Comp 2]]</f>
        <v>92.481203007518801</v>
      </c>
      <c r="G21" s="6">
        <f>RANK(ADVPWAG[[#This Row],[FX League Total]],ADVPWAG[FX League Total], 0)</f>
        <v>15</v>
      </c>
      <c r="H21"/>
      <c r="I21">
        <v>54.676258992805757</v>
      </c>
      <c r="J21" s="10">
        <f>ADVPWAG[[#This Row],[BB Comp 1]]+ADVPWAG[[#This Row],[BB Comp 2]]</f>
        <v>54.676258992805757</v>
      </c>
      <c r="K21" s="6">
        <f>RANK(ADVPWAG[[#This Row],[BB League Total]],ADVPWAG[BB League Total], 0)</f>
        <v>18</v>
      </c>
      <c r="L21"/>
      <c r="M21">
        <v>0</v>
      </c>
      <c r="N21" s="10">
        <f>ADVPWAG[[#This Row],[UB Comp 1]]+ADVPWAG[[#This Row],[UB Comp 2]]</f>
        <v>0</v>
      </c>
      <c r="O21" s="6">
        <f>RANK(ADVPWAG[[#This Row],[UB League Total]],ADVPWAG[UB League Total], 0)</f>
        <v>10</v>
      </c>
      <c r="P21"/>
      <c r="Q21">
        <v>99.199999999999989</v>
      </c>
      <c r="R21" s="10">
        <f>ADVPWAG[[#This Row],[VT Comp 1]]+ADVPWAG[[#This Row],[VT Comp 2]]</f>
        <v>99.199999999999989</v>
      </c>
      <c r="S21" s="6">
        <f>RANK(ADVPWAG[[#This Row],[VT League Total]],ADVPWAG[VT League Total], 0)</f>
        <v>10</v>
      </c>
      <c r="T21"/>
      <c r="U21">
        <v>83.67875647668393</v>
      </c>
      <c r="V21" s="10">
        <f>ADVPWAG[[#This Row],[AA Comp 1]]+ADVPWAG[[#This Row],[AA Comp 2]]</f>
        <v>83.67875647668393</v>
      </c>
      <c r="W21" s="6">
        <f>RANK(ADVPWAG[[#This Row],[AA League Total]],ADVPWAG[AA League Total], 0)</f>
        <v>20</v>
      </c>
    </row>
    <row r="22" spans="1:23" x14ac:dyDescent="0.2">
      <c r="A22" s="1"/>
      <c r="B22" s="15" t="s">
        <v>42</v>
      </c>
      <c r="C22" s="15" t="s">
        <v>118</v>
      </c>
      <c r="D22">
        <v>59.420289855072447</v>
      </c>
      <c r="E22"/>
      <c r="F22" s="10">
        <f>ADVPWAG[[#This Row],[FX Comp 1]]+ADVPWAG[[#This Row],[FX Comp 2]]</f>
        <v>59.420289855072447</v>
      </c>
      <c r="G22" s="6">
        <f>RANK(ADVPWAG[[#This Row],[FX League Total]],ADVPWAG[FX League Total], 0)</f>
        <v>22</v>
      </c>
      <c r="H22">
        <v>55.918367346938766</v>
      </c>
      <c r="I22"/>
      <c r="J22" s="10">
        <f>ADVPWAG[[#This Row],[BB Comp 1]]+ADVPWAG[[#This Row],[BB Comp 2]]</f>
        <v>55.918367346938766</v>
      </c>
      <c r="K22" s="6">
        <f>RANK(ADVPWAG[[#This Row],[BB League Total]],ADVPWAG[BB League Total], 0)</f>
        <v>17</v>
      </c>
      <c r="L22">
        <v>0</v>
      </c>
      <c r="M22"/>
      <c r="N22" s="10">
        <f>ADVPWAG[[#This Row],[UB Comp 1]]+ADVPWAG[[#This Row],[UB Comp 2]]</f>
        <v>0</v>
      </c>
      <c r="O22" s="6">
        <f>RANK(ADVPWAG[[#This Row],[UB League Total]],ADVPWAG[UB League Total], 0)</f>
        <v>10</v>
      </c>
      <c r="P22">
        <v>92.094861660079047</v>
      </c>
      <c r="Q22"/>
      <c r="R22" s="10">
        <f>ADVPWAG[[#This Row],[VT Comp 1]]+ADVPWAG[[#This Row],[VT Comp 2]]</f>
        <v>92.094861660079047</v>
      </c>
      <c r="S22" s="6">
        <f>RANK(ADVPWAG[[#This Row],[VT League Total]],ADVPWAG[VT League Total], 0)</f>
        <v>17</v>
      </c>
      <c r="T22">
        <v>69.440832249674898</v>
      </c>
      <c r="U22"/>
      <c r="V22" s="10">
        <f>ADVPWAG[[#This Row],[AA Comp 1]]+ADVPWAG[[#This Row],[AA Comp 2]]</f>
        <v>69.440832249674898</v>
      </c>
      <c r="W22" s="6">
        <f>RANK(ADVPWAG[[#This Row],[AA League Total]],ADVPWAG[AA League Total], 0)</f>
        <v>21</v>
      </c>
    </row>
    <row r="23" spans="1:23" x14ac:dyDescent="0.2">
      <c r="A23" s="1"/>
      <c r="B23" s="1" t="s">
        <v>235</v>
      </c>
      <c r="C23" s="1" t="s">
        <v>331</v>
      </c>
      <c r="D23"/>
      <c r="E23">
        <v>81.954887218045101</v>
      </c>
      <c r="F23" s="10">
        <f>ADVPWAG[[#This Row],[FX Comp 1]]+ADVPWAG[[#This Row],[FX Comp 2]]</f>
        <v>81.954887218045101</v>
      </c>
      <c r="G23" s="6">
        <f>RANK(ADVPWAG[[#This Row],[FX League Total]],ADVPWAG[FX League Total], 0)</f>
        <v>19</v>
      </c>
      <c r="H23"/>
      <c r="I23">
        <v>0</v>
      </c>
      <c r="J23" s="10">
        <f>ADVPWAG[[#This Row],[BB Comp 1]]+ADVPWAG[[#This Row],[BB Comp 2]]</f>
        <v>0</v>
      </c>
      <c r="K23" s="6">
        <f>RANK(ADVPWAG[[#This Row],[BB League Total]],ADVPWAG[BB League Total], 0)</f>
        <v>19</v>
      </c>
      <c r="L23"/>
      <c r="M23">
        <v>0</v>
      </c>
      <c r="N23" s="10">
        <f>ADVPWAG[[#This Row],[UB Comp 1]]+ADVPWAG[[#This Row],[UB Comp 2]]</f>
        <v>0</v>
      </c>
      <c r="O23" s="6">
        <f>RANK(ADVPWAG[[#This Row],[UB League Total]],ADVPWAG[UB League Total], 0)</f>
        <v>10</v>
      </c>
      <c r="P23"/>
      <c r="Q23">
        <v>0</v>
      </c>
      <c r="R23" s="10">
        <f>ADVPWAG[[#This Row],[VT Comp 1]]+ADVPWAG[[#This Row],[VT Comp 2]]</f>
        <v>0</v>
      </c>
      <c r="S23" s="6">
        <f>RANK(ADVPWAG[[#This Row],[VT League Total]],ADVPWAG[VT League Total], 0)</f>
        <v>20</v>
      </c>
      <c r="T23"/>
      <c r="U23">
        <v>58.290155440414502</v>
      </c>
      <c r="V23" s="10">
        <f>ADVPWAG[[#This Row],[AA Comp 1]]+ADVPWAG[[#This Row],[AA Comp 2]]</f>
        <v>58.290155440414502</v>
      </c>
      <c r="W23" s="6">
        <f>RANK(ADVPWAG[[#This Row],[AA League Total]],ADVPWAG[AA League Total], 0)</f>
        <v>22</v>
      </c>
    </row>
    <row r="24" spans="1:23" x14ac:dyDescent="0.2">
      <c r="A24" s="1"/>
      <c r="B24" s="1" t="s">
        <v>51</v>
      </c>
      <c r="C24" s="1" t="s">
        <v>106</v>
      </c>
      <c r="D24">
        <v>0</v>
      </c>
      <c r="E24">
        <v>80.451127819548859</v>
      </c>
      <c r="F24" s="10">
        <f>ADVPWAG[[#This Row],[FX Comp 1]]+ADVPWAG[[#This Row],[FX Comp 2]]</f>
        <v>80.451127819548859</v>
      </c>
      <c r="G24" s="6">
        <f>RANK(ADVPWAG[[#This Row],[FX League Total]],ADVPWAG[FX League Total], 0)</f>
        <v>20</v>
      </c>
      <c r="H24">
        <v>0</v>
      </c>
      <c r="I24">
        <v>0</v>
      </c>
      <c r="J24" s="10">
        <f>ADVPWAG[[#This Row],[BB Comp 1]]+ADVPWAG[[#This Row],[BB Comp 2]]</f>
        <v>0</v>
      </c>
      <c r="K24" s="6">
        <f>RANK(ADVPWAG[[#This Row],[BB League Total]],ADVPWAG[BB League Total], 0)</f>
        <v>19</v>
      </c>
      <c r="L24">
        <v>0</v>
      </c>
      <c r="M24">
        <v>69.07630522088354</v>
      </c>
      <c r="N24" s="10">
        <f>ADVPWAG[[#This Row],[UB Comp 1]]+ADVPWAG[[#This Row],[UB Comp 2]]</f>
        <v>69.07630522088354</v>
      </c>
      <c r="O24" s="6">
        <f>RANK(ADVPWAG[[#This Row],[UB League Total]],ADVPWAG[UB League Total], 0)</f>
        <v>8</v>
      </c>
      <c r="P24">
        <v>0</v>
      </c>
      <c r="Q24">
        <v>0</v>
      </c>
      <c r="R24" s="10">
        <f>ADVPWAG[[#This Row],[VT Comp 1]]+ADVPWAG[[#This Row],[VT Comp 2]]</f>
        <v>0</v>
      </c>
      <c r="S24" s="6">
        <f>RANK(ADVPWAG[[#This Row],[VT League Total]],ADVPWAG[VT League Total], 0)</f>
        <v>20</v>
      </c>
      <c r="T24">
        <v>0</v>
      </c>
      <c r="U24">
        <v>49.999999999999986</v>
      </c>
      <c r="V24" s="10">
        <f>ADVPWAG[[#This Row],[AA Comp 1]]+ADVPWAG[[#This Row],[AA Comp 2]]</f>
        <v>49.999999999999986</v>
      </c>
      <c r="W24" s="6">
        <f>RANK(ADVPWAG[[#This Row],[AA League Total]],ADVPWAG[AA League Total], 0)</f>
        <v>23</v>
      </c>
    </row>
    <row r="25" spans="1:23" x14ac:dyDescent="0.2">
      <c r="A25" s="1"/>
      <c r="B25" s="1" t="s">
        <v>50</v>
      </c>
      <c r="C25" s="1" t="s">
        <v>111</v>
      </c>
      <c r="D25">
        <v>0</v>
      </c>
      <c r="E25"/>
      <c r="F25" s="10">
        <f>ADVPWAG[[#This Row],[FX Comp 1]]+ADVPWAG[[#This Row],[FX Comp 2]]</f>
        <v>0</v>
      </c>
      <c r="G25" s="6">
        <f>RANK(ADVPWAG[[#This Row],[FX League Total]],ADVPWAG[FX League Total], 0)</f>
        <v>23</v>
      </c>
      <c r="H25">
        <v>85.714285714285708</v>
      </c>
      <c r="I25"/>
      <c r="J25" s="10">
        <f>ADVPWAG[[#This Row],[BB Comp 1]]+ADVPWAG[[#This Row],[BB Comp 2]]</f>
        <v>85.714285714285708</v>
      </c>
      <c r="K25" s="6">
        <f>RANK(ADVPWAG[[#This Row],[BB League Total]],ADVPWAG[BB League Total], 0)</f>
        <v>14</v>
      </c>
      <c r="L25">
        <v>0</v>
      </c>
      <c r="M25"/>
      <c r="N25" s="10">
        <f>ADVPWAG[[#This Row],[UB Comp 1]]+ADVPWAG[[#This Row],[UB Comp 2]]</f>
        <v>0</v>
      </c>
      <c r="O25" s="6">
        <f>RANK(ADVPWAG[[#This Row],[UB League Total]],ADVPWAG[UB League Total], 0)</f>
        <v>10</v>
      </c>
      <c r="P25">
        <v>0</v>
      </c>
      <c r="Q25"/>
      <c r="R25" s="10">
        <f>ADVPWAG[[#This Row],[VT Comp 1]]+ADVPWAG[[#This Row],[VT Comp 2]]</f>
        <v>0</v>
      </c>
      <c r="S25" s="6">
        <f>RANK(ADVPWAG[[#This Row],[VT League Total]],ADVPWAG[VT League Total], 0)</f>
        <v>20</v>
      </c>
      <c r="T25">
        <v>27.308192457737317</v>
      </c>
      <c r="U25"/>
      <c r="V25" s="10">
        <f>ADVPWAG[[#This Row],[AA Comp 1]]+ADVPWAG[[#This Row],[AA Comp 2]]</f>
        <v>27.308192457737317</v>
      </c>
      <c r="W25" s="6">
        <f>RANK(ADVPWAG[[#This Row],[AA League Total]],ADVPWAG[AA League Total], 0)</f>
        <v>24</v>
      </c>
    </row>
    <row r="26" spans="1:23" x14ac:dyDescent="0.2">
      <c r="A26" s="1"/>
      <c r="B26" s="1" t="s">
        <v>42</v>
      </c>
      <c r="C26" s="1" t="s">
        <v>330</v>
      </c>
      <c r="D26"/>
      <c r="E26">
        <v>0</v>
      </c>
      <c r="F26" s="10">
        <f>ADVPWAG[[#This Row],[FX Comp 1]]+ADVPWAG[[#This Row],[FX Comp 2]]</f>
        <v>0</v>
      </c>
      <c r="G26" s="6">
        <f>RANK(ADVPWAG[[#This Row],[FX League Total]],ADVPWAG[FX League Total], 0)</f>
        <v>23</v>
      </c>
      <c r="H26"/>
      <c r="I26">
        <v>0</v>
      </c>
      <c r="J26" s="10">
        <f>ADVPWAG[[#This Row],[BB Comp 1]]+ADVPWAG[[#This Row],[BB Comp 2]]</f>
        <v>0</v>
      </c>
      <c r="K26" s="6">
        <f>RANK(ADVPWAG[[#This Row],[BB League Total]],ADVPWAG[BB League Total], 0)</f>
        <v>19</v>
      </c>
      <c r="L26"/>
      <c r="M26">
        <v>0</v>
      </c>
      <c r="N26" s="10">
        <f>ADVPWAG[[#This Row],[UB Comp 1]]+ADVPWAG[[#This Row],[UB Comp 2]]</f>
        <v>0</v>
      </c>
      <c r="O26" s="6">
        <f>RANK(ADVPWAG[[#This Row],[UB League Total]],ADVPWAG[UB League Total], 0)</f>
        <v>10</v>
      </c>
      <c r="P26"/>
      <c r="Q26">
        <v>0</v>
      </c>
      <c r="R26" s="10">
        <f>ADVPWAG[[#This Row],[VT Comp 1]]+ADVPWAG[[#This Row],[VT Comp 2]]</f>
        <v>0</v>
      </c>
      <c r="S26" s="6">
        <f>RANK(ADVPWAG[[#This Row],[VT League Total]],ADVPWAG[VT League Total], 0)</f>
        <v>20</v>
      </c>
      <c r="T26"/>
      <c r="U26">
        <v>0</v>
      </c>
      <c r="V26" s="10">
        <f>ADVPWAG[[#This Row],[AA Comp 1]]+ADVPWAG[[#This Row],[AA Comp 2]]</f>
        <v>0</v>
      </c>
      <c r="W26" s="6">
        <f>RANK(ADVPWAG[[#This Row],[AA League Total]],ADVPWAG[AA League Total], 0)</f>
        <v>25</v>
      </c>
    </row>
    <row r="27" spans="1:23" x14ac:dyDescent="0.2">
      <c r="A27" s="1"/>
      <c r="B27" s="1" t="s">
        <v>51</v>
      </c>
      <c r="C27" s="1" t="s">
        <v>108</v>
      </c>
      <c r="D27">
        <v>0</v>
      </c>
      <c r="E27"/>
      <c r="F27" s="10">
        <f>ADVPWAG[[#This Row],[FX Comp 1]]+ADVPWAG[[#This Row],[FX Comp 2]]</f>
        <v>0</v>
      </c>
      <c r="G27" s="6">
        <f>RANK(ADVPWAG[[#This Row],[FX League Total]],ADVPWAG[FX League Total], 0)</f>
        <v>23</v>
      </c>
      <c r="H27">
        <v>0</v>
      </c>
      <c r="I27"/>
      <c r="J27" s="10">
        <f>ADVPWAG[[#This Row],[BB Comp 1]]+ADVPWAG[[#This Row],[BB Comp 2]]</f>
        <v>0</v>
      </c>
      <c r="K27" s="6">
        <f>RANK(ADVPWAG[[#This Row],[BB League Total]],ADVPWAG[BB League Total], 0)</f>
        <v>19</v>
      </c>
      <c r="L27">
        <v>0</v>
      </c>
      <c r="M27"/>
      <c r="N27" s="10">
        <f>ADVPWAG[[#This Row],[UB Comp 1]]+ADVPWAG[[#This Row],[UB Comp 2]]</f>
        <v>0</v>
      </c>
      <c r="O27" s="6">
        <f>RANK(ADVPWAG[[#This Row],[UB League Total]],ADVPWAG[UB League Total], 0)</f>
        <v>10</v>
      </c>
      <c r="P27">
        <v>0</v>
      </c>
      <c r="Q27"/>
      <c r="R27" s="10">
        <f>ADVPWAG[[#This Row],[VT Comp 1]]+ADVPWAG[[#This Row],[VT Comp 2]]</f>
        <v>0</v>
      </c>
      <c r="S27" s="6">
        <f>RANK(ADVPWAG[[#This Row],[VT League Total]],ADVPWAG[VT League Total], 0)</f>
        <v>20</v>
      </c>
      <c r="T27">
        <v>0</v>
      </c>
      <c r="U27"/>
      <c r="V27" s="10">
        <f>ADVPWAG[[#This Row],[AA Comp 1]]+ADVPWAG[[#This Row],[AA Comp 2]]</f>
        <v>0</v>
      </c>
      <c r="W27" s="6">
        <f>RANK(ADVPWAG[[#This Row],[AA League Total]],ADVPWAG[AA League Total], 0)</f>
        <v>25</v>
      </c>
    </row>
    <row r="28" spans="1:23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1:23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</row>
  </sheetData>
  <conditionalFormatting sqref="G2:G27 K2:K27 O2:O27 S2:S27 W2:W27">
    <cfRule type="cellIs" dxfId="11" priority="1" operator="equal">
      <formula>3</formula>
    </cfRule>
    <cfRule type="cellIs" dxfId="10" priority="2" operator="equal">
      <formula>2</formula>
    </cfRule>
    <cfRule type="cellIs" dxfId="9" priority="3" operator="equal">
      <formula>1</formula>
    </cfRule>
  </conditionalFormatting>
  <pageMargins left="0.7" right="0.7" top="0.75" bottom="0.75" header="0.3" footer="0.3"/>
  <pageSetup paperSize="8" orientation="portrait" horizontalDpi="0" verticalDpi="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950CE-C628-BA42-B15D-8EE19D9C88F0}">
  <sheetPr>
    <tabColor rgb="FF00B050"/>
  </sheetPr>
  <dimension ref="A1:W87"/>
  <sheetViews>
    <sheetView zoomScale="93" zoomScaleNormal="55" workbookViewId="0">
      <pane xSplit="3" ySplit="1" topLeftCell="T2" activePane="bottomRight" state="frozen"/>
      <selection pane="topRight" activeCell="D1" sqref="D1"/>
      <selection pane="bottomLeft" activeCell="A2" sqref="A2"/>
      <selection pane="bottomRight" activeCell="W1" sqref="W1"/>
    </sheetView>
  </sheetViews>
  <sheetFormatPr baseColWidth="10" defaultColWidth="11" defaultRowHeight="16" x14ac:dyDescent="0.2"/>
  <cols>
    <col min="1" max="1" width="6.33203125" style="4" customWidth="1"/>
    <col min="2" max="2" width="26.1640625" style="4" bestFit="1" customWidth="1"/>
    <col min="3" max="3" width="23.83203125" style="4" customWidth="1"/>
    <col min="4" max="16384" width="11" style="4"/>
  </cols>
  <sheetData>
    <row r="1" spans="1:23" s="2" customFormat="1" ht="118" x14ac:dyDescent="0.2">
      <c r="A1" s="2" t="s">
        <v>40</v>
      </c>
      <c r="B1" s="16" t="s">
        <v>209</v>
      </c>
      <c r="C1" s="2" t="s">
        <v>0</v>
      </c>
      <c r="D1" s="2" t="s">
        <v>1</v>
      </c>
      <c r="E1" s="2" t="s">
        <v>2</v>
      </c>
      <c r="F1" s="3" t="s">
        <v>3</v>
      </c>
      <c r="G1" s="3" t="s">
        <v>36</v>
      </c>
      <c r="H1" s="2" t="s">
        <v>24</v>
      </c>
      <c r="I1" s="2" t="s">
        <v>25</v>
      </c>
      <c r="J1" s="3" t="s">
        <v>26</v>
      </c>
      <c r="K1" s="3" t="s">
        <v>37</v>
      </c>
      <c r="L1" s="2" t="s">
        <v>27</v>
      </c>
      <c r="M1" s="2" t="s">
        <v>28</v>
      </c>
      <c r="N1" s="3" t="s">
        <v>29</v>
      </c>
      <c r="O1" s="3" t="s">
        <v>38</v>
      </c>
      <c r="P1" s="2" t="s">
        <v>12</v>
      </c>
      <c r="Q1" s="2" t="s">
        <v>13</v>
      </c>
      <c r="R1" s="3" t="s">
        <v>14</v>
      </c>
      <c r="S1" s="3" t="s">
        <v>39</v>
      </c>
      <c r="T1" s="2" t="s">
        <v>21</v>
      </c>
      <c r="U1" s="2" t="s">
        <v>22</v>
      </c>
      <c r="V1" s="3" t="s">
        <v>23</v>
      </c>
      <c r="W1" s="3" t="s">
        <v>35</v>
      </c>
    </row>
    <row r="2" spans="1:23" s="2" customFormat="1" ht="19" customHeight="1" x14ac:dyDescent="0.2">
      <c r="A2"/>
      <c r="B2" s="21" t="s">
        <v>64</v>
      </c>
      <c r="C2" s="19" t="s">
        <v>128</v>
      </c>
      <c r="D2" s="4">
        <v>91.366906474820127</v>
      </c>
      <c r="E2" s="4">
        <v>92.481203007518801</v>
      </c>
      <c r="F2" s="10">
        <f>ADVWAG[[#This Row],[FX Comp 1]]+ADVWAG[[#This Row],[FX Comp 2]]</f>
        <v>183.84810948233894</v>
      </c>
      <c r="G2" s="6">
        <f>RANK(ADVWAG[[#This Row],[FX League Total]],ADVWAG[FX League Total], 0)</f>
        <v>6</v>
      </c>
      <c r="H2" s="4">
        <v>0</v>
      </c>
      <c r="I2" s="4">
        <v>0</v>
      </c>
      <c r="J2" s="10">
        <f>ADVWAG[[#This Row],[BB Comp 1]]+ADVWAG[[#This Row],[BB Comp 2]]</f>
        <v>0</v>
      </c>
      <c r="K2" s="6">
        <f>RANK(ADVWAG[[#This Row],[BB League Total]],ADVWAG[BB League Total], 0)</f>
        <v>21</v>
      </c>
      <c r="L2" s="4">
        <v>96.610169491525426</v>
      </c>
      <c r="M2" s="4">
        <v>97.637795275590548</v>
      </c>
      <c r="N2" s="10">
        <f>ADVWAG[[#This Row],[UB Comp 1]]+ADVWAG[[#This Row],[UB Comp 2]]</f>
        <v>194.24796476711597</v>
      </c>
      <c r="O2" s="6">
        <f>RANK(ADVWAG[[#This Row],[UB League Total]],ADVWAG[UB League Total], 0)</f>
        <v>1</v>
      </c>
      <c r="P2" s="4">
        <v>96.638655462184872</v>
      </c>
      <c r="Q2" s="4">
        <v>98.760330578512409</v>
      </c>
      <c r="R2" s="10">
        <f>ADVWAG[[#This Row],[VT Comp 1]]+ADVWAG[[#This Row],[VT Comp 2]]</f>
        <v>195.39898604069728</v>
      </c>
      <c r="S2" s="6">
        <f>RANK(ADVWAG[[#This Row],[VT League Total]],ADVWAG[VT League Total], 0)</f>
        <v>3</v>
      </c>
      <c r="T2" s="4">
        <v>95.698924731182785</v>
      </c>
      <c r="U2" s="4">
        <v>98.257372654155489</v>
      </c>
      <c r="V2" s="10">
        <f>ADVWAG[[#This Row],[AA Comp 1]]+ADVWAG[[#This Row],[AA Comp 2]]</f>
        <v>193.95629738533827</v>
      </c>
      <c r="W2" s="6">
        <f>RANK(ADVWAG[[#This Row],[AA League Total]],ADVWAG[AA League Total], 0)</f>
        <v>1</v>
      </c>
    </row>
    <row r="3" spans="1:23" x14ac:dyDescent="0.2">
      <c r="A3"/>
      <c r="B3" t="s">
        <v>42</v>
      </c>
      <c r="C3" s="19" t="s">
        <v>141</v>
      </c>
      <c r="D3">
        <v>89.928057553956833</v>
      </c>
      <c r="E3">
        <v>97.744360902255636</v>
      </c>
      <c r="F3" s="10">
        <f>ADVWAG[[#This Row],[FX Comp 1]]+ADVWAG[[#This Row],[FX Comp 2]]</f>
        <v>187.67241845621248</v>
      </c>
      <c r="G3" s="6">
        <f>RANK(ADVWAG[[#This Row],[FX League Total]],ADVWAG[FX League Total], 0)</f>
        <v>3</v>
      </c>
      <c r="H3">
        <v>80.97165991902834</v>
      </c>
      <c r="I3">
        <v>0</v>
      </c>
      <c r="J3" s="10">
        <f>ADVWAG[[#This Row],[BB Comp 1]]+ADVWAG[[#This Row],[BB Comp 2]]</f>
        <v>80.97165991902834</v>
      </c>
      <c r="K3" s="6">
        <f>RANK(ADVWAG[[#This Row],[BB League Total]],ADVWAG[BB League Total], 0)</f>
        <v>9</v>
      </c>
      <c r="L3">
        <v>0</v>
      </c>
      <c r="M3">
        <v>99.212598425196859</v>
      </c>
      <c r="N3" s="10">
        <f>ADVWAG[[#This Row],[UB Comp 1]]+ADVWAG[[#This Row],[UB Comp 2]]</f>
        <v>99.212598425196859</v>
      </c>
      <c r="O3" s="6">
        <f>RANK(ADVWAG[[#This Row],[UB League Total]],ADVWAG[UB League Total], 0)</f>
        <v>11</v>
      </c>
      <c r="P3">
        <v>97.899159663865547</v>
      </c>
      <c r="Q3">
        <v>96.694214876033072</v>
      </c>
      <c r="R3" s="10">
        <f>ADVWAG[[#This Row],[VT Comp 1]]+ADVWAG[[#This Row],[VT Comp 2]]</f>
        <v>194.5933745398986</v>
      </c>
      <c r="S3" s="6">
        <f>RANK(ADVWAG[[#This Row],[VT League Total]],ADVWAG[VT League Total], 0)</f>
        <v>4</v>
      </c>
      <c r="T3">
        <v>91.801075268817186</v>
      </c>
      <c r="U3">
        <v>100</v>
      </c>
      <c r="V3" s="10">
        <f>ADVWAG[[#This Row],[AA Comp 1]]+ADVWAG[[#This Row],[AA Comp 2]]</f>
        <v>191.80107526881719</v>
      </c>
      <c r="W3" s="6">
        <f>RANK(ADVWAG[[#This Row],[AA League Total]],ADVWAG[AA League Total], 0)</f>
        <v>2</v>
      </c>
    </row>
    <row r="4" spans="1:23" x14ac:dyDescent="0.2">
      <c r="A4"/>
      <c r="B4" t="s">
        <v>65</v>
      </c>
      <c r="C4" s="19" t="s">
        <v>145</v>
      </c>
      <c r="D4">
        <v>94.964028776978409</v>
      </c>
      <c r="E4">
        <v>99.248120300751879</v>
      </c>
      <c r="F4" s="10">
        <f>ADVWAG[[#This Row],[FX Comp 1]]+ADVWAG[[#This Row],[FX Comp 2]]</f>
        <v>194.21214907773029</v>
      </c>
      <c r="G4" s="6">
        <f>RANK(ADVWAG[[#This Row],[FX League Total]],ADVWAG[FX League Total], 0)</f>
        <v>1</v>
      </c>
      <c r="H4">
        <v>0</v>
      </c>
      <c r="I4">
        <v>88.983050847457619</v>
      </c>
      <c r="J4" s="10">
        <f>ADVWAG[[#This Row],[BB Comp 1]]+ADVWAG[[#This Row],[BB Comp 2]]</f>
        <v>88.983050847457619</v>
      </c>
      <c r="K4" s="6">
        <f>RANK(ADVWAG[[#This Row],[BB League Total]],ADVWAG[BB League Total], 0)</f>
        <v>8</v>
      </c>
      <c r="L4">
        <v>82.20338983050847</v>
      </c>
      <c r="M4">
        <v>0</v>
      </c>
      <c r="N4" s="10">
        <f>ADVWAG[[#This Row],[UB Comp 1]]+ADVWAG[[#This Row],[UB Comp 2]]</f>
        <v>82.20338983050847</v>
      </c>
      <c r="O4" s="6">
        <f>RANK(ADVWAG[[#This Row],[UB League Total]],ADVWAG[UB League Total], 0)</f>
        <v>24</v>
      </c>
      <c r="P4">
        <v>98.319327731092429</v>
      </c>
      <c r="Q4">
        <v>94.214876033057863</v>
      </c>
      <c r="R4" s="10">
        <f>ADVWAG[[#This Row],[VT Comp 1]]+ADVWAG[[#This Row],[VT Comp 2]]</f>
        <v>192.53420376415028</v>
      </c>
      <c r="S4" s="6">
        <f>RANK(ADVWAG[[#This Row],[VT League Total]],ADVWAG[VT League Total], 0)</f>
        <v>6</v>
      </c>
      <c r="T4">
        <v>93.010752688172019</v>
      </c>
      <c r="U4">
        <v>94.101876675603208</v>
      </c>
      <c r="V4" s="10">
        <f>ADVWAG[[#This Row],[AA Comp 1]]+ADVWAG[[#This Row],[AA Comp 2]]</f>
        <v>187.11262936377523</v>
      </c>
      <c r="W4" s="6">
        <f>RANK(ADVWAG[[#This Row],[AA League Total]],ADVWAG[AA League Total], 0)</f>
        <v>3</v>
      </c>
    </row>
    <row r="5" spans="1:23" x14ac:dyDescent="0.2">
      <c r="A5" s="21"/>
      <c r="B5" s="21" t="s">
        <v>63</v>
      </c>
      <c r="C5" s="19" t="s">
        <v>122</v>
      </c>
      <c r="D5">
        <v>93.525179856115102</v>
      </c>
      <c r="E5">
        <v>95.488721804511272</v>
      </c>
      <c r="F5" s="10">
        <f>ADVWAG[[#This Row],[FX Comp 1]]+ADVWAG[[#This Row],[FX Comp 2]]</f>
        <v>189.01390166062637</v>
      </c>
      <c r="G5" s="6">
        <f>RANK(ADVWAG[[#This Row],[FX League Total]],ADVWAG[FX League Total], 0)</f>
        <v>2</v>
      </c>
      <c r="H5">
        <v>86.23481781376519</v>
      </c>
      <c r="I5">
        <v>80.508474576271183</v>
      </c>
      <c r="J5" s="10">
        <f>ADVWAG[[#This Row],[BB Comp 1]]+ADVWAG[[#This Row],[BB Comp 2]]</f>
        <v>166.74329239003637</v>
      </c>
      <c r="K5" s="6">
        <f>RANK(ADVWAG[[#This Row],[BB League Total]],ADVWAG[BB League Total], 0)</f>
        <v>1</v>
      </c>
      <c r="L5">
        <v>0</v>
      </c>
      <c r="M5">
        <v>0</v>
      </c>
      <c r="N5" s="10">
        <f>ADVWAG[[#This Row],[UB Comp 1]]+ADVWAG[[#This Row],[UB Comp 2]]</f>
        <v>0</v>
      </c>
      <c r="O5" s="6">
        <f>RANK(ADVWAG[[#This Row],[UB League Total]],ADVWAG[UB League Total], 0)</f>
        <v>29</v>
      </c>
      <c r="P5">
        <v>99.579831932773104</v>
      </c>
      <c r="Q5">
        <v>97.933884297520663</v>
      </c>
      <c r="R5" s="10">
        <f>ADVWAG[[#This Row],[VT Comp 1]]+ADVWAG[[#This Row],[VT Comp 2]]</f>
        <v>197.51371623029377</v>
      </c>
      <c r="S5" s="6">
        <f>RANK(ADVWAG[[#This Row],[VT League Total]],ADVWAG[VT League Total], 0)</f>
        <v>2</v>
      </c>
      <c r="T5">
        <v>95.430107526881713</v>
      </c>
      <c r="U5">
        <v>91.286863270777459</v>
      </c>
      <c r="V5" s="10">
        <f>ADVWAG[[#This Row],[AA Comp 1]]+ADVWAG[[#This Row],[AA Comp 2]]</f>
        <v>186.71697079765917</v>
      </c>
      <c r="W5" s="6">
        <f>RANK(ADVWAG[[#This Row],[AA League Total]],ADVWAG[AA League Total], 0)</f>
        <v>4</v>
      </c>
    </row>
    <row r="6" spans="1:23" x14ac:dyDescent="0.2">
      <c r="A6"/>
      <c r="B6" s="21" t="s">
        <v>51</v>
      </c>
      <c r="C6" s="19" t="s">
        <v>139</v>
      </c>
      <c r="D6">
        <v>92.086330935251809</v>
      </c>
      <c r="E6">
        <v>91.729323308270665</v>
      </c>
      <c r="F6" s="10">
        <f>ADVWAG[[#This Row],[FX Comp 1]]+ADVWAG[[#This Row],[FX Comp 2]]</f>
        <v>183.81565424352249</v>
      </c>
      <c r="G6" s="6">
        <f>RANK(ADVWAG[[#This Row],[FX League Total]],ADVWAG[FX League Total], 0)</f>
        <v>7</v>
      </c>
      <c r="H6">
        <v>0</v>
      </c>
      <c r="I6">
        <v>0</v>
      </c>
      <c r="J6" s="10">
        <f>ADVWAG[[#This Row],[BB Comp 1]]+ADVWAG[[#This Row],[BB Comp 2]]</f>
        <v>0</v>
      </c>
      <c r="K6" s="6">
        <f>RANK(ADVWAG[[#This Row],[BB League Total]],ADVWAG[BB League Total], 0)</f>
        <v>21</v>
      </c>
      <c r="L6">
        <v>86.440677966101688</v>
      </c>
      <c r="M6">
        <v>86.614173228346445</v>
      </c>
      <c r="N6" s="10">
        <f>ADVWAG[[#This Row],[UB Comp 1]]+ADVWAG[[#This Row],[UB Comp 2]]</f>
        <v>173.05485119444813</v>
      </c>
      <c r="O6" s="6">
        <f>RANK(ADVWAG[[#This Row],[UB League Total]],ADVWAG[UB League Total], 0)</f>
        <v>3</v>
      </c>
      <c r="P6">
        <v>100</v>
      </c>
      <c r="Q6">
        <v>92.975206611570243</v>
      </c>
      <c r="R6" s="10">
        <f>ADVWAG[[#This Row],[VT Comp 1]]+ADVWAG[[#This Row],[VT Comp 2]]</f>
        <v>192.97520661157023</v>
      </c>
      <c r="S6" s="6">
        <f>RANK(ADVWAG[[#This Row],[VT League Total]],ADVWAG[VT League Total], 0)</f>
        <v>5</v>
      </c>
      <c r="T6">
        <v>93.817204301075265</v>
      </c>
      <c r="U6">
        <v>92.359249329758711</v>
      </c>
      <c r="V6" s="10">
        <f>ADVWAG[[#This Row],[AA Comp 1]]+ADVWAG[[#This Row],[AA Comp 2]]</f>
        <v>186.17645363083398</v>
      </c>
      <c r="W6" s="6">
        <f>RANK(ADVWAG[[#This Row],[AA League Total]],ADVWAG[AA League Total], 0)</f>
        <v>5</v>
      </c>
    </row>
    <row r="7" spans="1:23" x14ac:dyDescent="0.2">
      <c r="A7"/>
      <c r="B7" t="s">
        <v>42</v>
      </c>
      <c r="C7" s="19" t="s">
        <v>143</v>
      </c>
      <c r="D7" s="4">
        <v>87.050359712230204</v>
      </c>
      <c r="E7" s="4">
        <v>97.744360902255636</v>
      </c>
      <c r="F7" s="10">
        <f>ADVWAG[[#This Row],[FX Comp 1]]+ADVWAG[[#This Row],[FX Comp 2]]</f>
        <v>184.79472061448584</v>
      </c>
      <c r="G7" s="6">
        <f>RANK(ADVWAG[[#This Row],[FX League Total]],ADVWAG[FX League Total], 0)</f>
        <v>4</v>
      </c>
      <c r="H7" s="4">
        <v>0</v>
      </c>
      <c r="I7" s="4">
        <v>0</v>
      </c>
      <c r="J7" s="10">
        <f>ADVWAG[[#This Row],[BB Comp 1]]+ADVWAG[[#This Row],[BB Comp 2]]</f>
        <v>0</v>
      </c>
      <c r="K7" s="6">
        <f>RANK(ADVWAG[[#This Row],[BB League Total]],ADVWAG[BB League Total], 0)</f>
        <v>21</v>
      </c>
      <c r="L7" s="4">
        <v>79.66101694915254</v>
      </c>
      <c r="M7" s="4">
        <v>85.039370078740149</v>
      </c>
      <c r="N7" s="10">
        <f>ADVWAG[[#This Row],[UB Comp 1]]+ADVWAG[[#This Row],[UB Comp 2]]</f>
        <v>164.7003870278927</v>
      </c>
      <c r="O7" s="6">
        <f>RANK(ADVWAG[[#This Row],[UB League Total]],ADVWAG[UB League Total], 0)</f>
        <v>5</v>
      </c>
      <c r="P7" s="4">
        <v>98.319327731092429</v>
      </c>
      <c r="Q7" s="4">
        <v>100</v>
      </c>
      <c r="R7" s="10">
        <f>ADVWAG[[#This Row],[VT Comp 1]]+ADVWAG[[#This Row],[VT Comp 2]]</f>
        <v>198.31932773109241</v>
      </c>
      <c r="S7" s="6">
        <f>RANK(ADVWAG[[#This Row],[VT League Total]],ADVWAG[VT League Total], 0)</f>
        <v>1</v>
      </c>
      <c r="T7" s="4">
        <v>89.247311827956992</v>
      </c>
      <c r="U7" s="4">
        <v>96.246648793565669</v>
      </c>
      <c r="V7" s="10">
        <f>ADVWAG[[#This Row],[AA Comp 1]]+ADVWAG[[#This Row],[AA Comp 2]]</f>
        <v>185.49396062152266</v>
      </c>
      <c r="W7" s="6">
        <f>RANK(ADVWAG[[#This Row],[AA League Total]],ADVWAG[AA League Total], 0)</f>
        <v>6</v>
      </c>
    </row>
    <row r="8" spans="1:23" x14ac:dyDescent="0.2">
      <c r="A8" s="21"/>
      <c r="B8" s="21" t="s">
        <v>63</v>
      </c>
      <c r="C8" s="19" t="s">
        <v>315</v>
      </c>
      <c r="D8">
        <v>87.769784172661858</v>
      </c>
      <c r="E8">
        <v>96.240601503759379</v>
      </c>
      <c r="F8" s="10">
        <f>ADVWAG[[#This Row],[FX Comp 1]]+ADVWAG[[#This Row],[FX Comp 2]]</f>
        <v>184.01038567642124</v>
      </c>
      <c r="G8" s="6">
        <f>RANK(ADVWAG[[#This Row],[FX League Total]],ADVWAG[FX League Total], 0)</f>
        <v>5</v>
      </c>
      <c r="H8">
        <v>0</v>
      </c>
      <c r="I8">
        <v>0</v>
      </c>
      <c r="J8" s="10">
        <f>ADVWAG[[#This Row],[BB Comp 1]]+ADVWAG[[#This Row],[BB Comp 2]]</f>
        <v>0</v>
      </c>
      <c r="K8" s="6">
        <f>RANK(ADVWAG[[#This Row],[BB League Total]],ADVWAG[BB League Total], 0)</f>
        <v>21</v>
      </c>
      <c r="L8">
        <v>85.593220338983045</v>
      </c>
      <c r="M8">
        <v>81.102362204724415</v>
      </c>
      <c r="N8" s="10">
        <f>ADVWAG[[#This Row],[UB Comp 1]]+ADVWAG[[#This Row],[UB Comp 2]]</f>
        <v>166.69558254370747</v>
      </c>
      <c r="O8" s="6">
        <f>RANK(ADVWAG[[#This Row],[UB League Total]],ADVWAG[UB League Total], 0)</f>
        <v>4</v>
      </c>
      <c r="P8">
        <v>89.915966386554615</v>
      </c>
      <c r="Q8">
        <v>92.561983471074399</v>
      </c>
      <c r="R8" s="10">
        <f>ADVWAG[[#This Row],[VT Comp 1]]+ADVWAG[[#This Row],[VT Comp 2]]</f>
        <v>182.47794985762903</v>
      </c>
      <c r="S8" s="6">
        <f>RANK(ADVWAG[[#This Row],[VT League Total]],ADVWAG[VT League Total], 0)</f>
        <v>9</v>
      </c>
      <c r="T8">
        <v>88.709677419354833</v>
      </c>
      <c r="U8">
        <v>91.957104557640761</v>
      </c>
      <c r="V8" s="10">
        <f>ADVWAG[[#This Row],[AA Comp 1]]+ADVWAG[[#This Row],[AA Comp 2]]</f>
        <v>180.66678197699559</v>
      </c>
      <c r="W8" s="6">
        <f>RANK(ADVWAG[[#This Row],[AA League Total]],ADVWAG[AA League Total], 0)</f>
        <v>7</v>
      </c>
    </row>
    <row r="9" spans="1:23" x14ac:dyDescent="0.2">
      <c r="A9"/>
      <c r="B9" s="21" t="s">
        <v>51</v>
      </c>
      <c r="C9" s="19" t="s">
        <v>318</v>
      </c>
      <c r="D9" s="4">
        <v>81.294964028776988</v>
      </c>
      <c r="E9" s="4">
        <v>86.46616541353383</v>
      </c>
      <c r="F9" s="10">
        <f>ADVWAG[[#This Row],[FX Comp 1]]+ADVWAG[[#This Row],[FX Comp 2]]</f>
        <v>167.76112944231082</v>
      </c>
      <c r="G9" s="6">
        <f>RANK(ADVWAG[[#This Row],[FX League Total]],ADVWAG[FX League Total], 0)</f>
        <v>13</v>
      </c>
      <c r="H9" s="4">
        <v>0</v>
      </c>
      <c r="I9" s="4">
        <v>0</v>
      </c>
      <c r="J9" s="10">
        <f>ADVWAG[[#This Row],[BB Comp 1]]+ADVWAG[[#This Row],[BB Comp 2]]</f>
        <v>0</v>
      </c>
      <c r="K9" s="6">
        <f>RANK(ADVWAG[[#This Row],[BB League Total]],ADVWAG[BB League Total], 0)</f>
        <v>21</v>
      </c>
      <c r="L9" s="4">
        <v>94.067796610169481</v>
      </c>
      <c r="M9" s="4">
        <v>83.464566929133866</v>
      </c>
      <c r="N9" s="10">
        <f>ADVWAG[[#This Row],[UB Comp 1]]+ADVWAG[[#This Row],[UB Comp 2]]</f>
        <v>177.53236353930333</v>
      </c>
      <c r="O9" s="6">
        <f>RANK(ADVWAG[[#This Row],[UB League Total]],ADVWAG[UB League Total], 0)</f>
        <v>2</v>
      </c>
      <c r="P9" s="4">
        <v>93.69747899159664</v>
      </c>
      <c r="Q9" s="4">
        <v>93.388429752066131</v>
      </c>
      <c r="R9" s="10">
        <f>ADVWAG[[#This Row],[VT Comp 1]]+ADVWAG[[#This Row],[VT Comp 2]]</f>
        <v>187.08590874366277</v>
      </c>
      <c r="S9" s="6">
        <f>RANK(ADVWAG[[#This Row],[VT League Total]],ADVWAG[VT League Total], 0)</f>
        <v>8</v>
      </c>
      <c r="T9" s="4">
        <v>90.188172043010738</v>
      </c>
      <c r="U9" s="4">
        <v>89.544235924932977</v>
      </c>
      <c r="V9" s="10">
        <f>ADVWAG[[#This Row],[AA Comp 1]]+ADVWAG[[#This Row],[AA Comp 2]]</f>
        <v>179.73240796794371</v>
      </c>
      <c r="W9" s="6">
        <f>RANK(ADVWAG[[#This Row],[AA League Total]],ADVWAG[AA League Total], 0)</f>
        <v>8</v>
      </c>
    </row>
    <row r="10" spans="1:23" x14ac:dyDescent="0.2">
      <c r="A10"/>
      <c r="B10" t="s">
        <v>50</v>
      </c>
      <c r="C10" s="19" t="s">
        <v>126</v>
      </c>
      <c r="D10" s="4">
        <v>92.805755395683448</v>
      </c>
      <c r="E10" s="4">
        <v>81.954887218045101</v>
      </c>
      <c r="F10" s="10">
        <f>ADVWAG[[#This Row],[FX Comp 1]]+ADVWAG[[#This Row],[FX Comp 2]]</f>
        <v>174.76064261372855</v>
      </c>
      <c r="G10" s="6">
        <f>RANK(ADVWAG[[#This Row],[FX League Total]],ADVWAG[FX League Total], 0)</f>
        <v>10</v>
      </c>
      <c r="H10" s="4">
        <v>82.186234817813769</v>
      </c>
      <c r="I10" s="4">
        <v>82.20338983050847</v>
      </c>
      <c r="J10" s="10">
        <f>ADVWAG[[#This Row],[BB Comp 1]]+ADVWAG[[#This Row],[BB Comp 2]]</f>
        <v>164.38962464832224</v>
      </c>
      <c r="K10" s="6">
        <f>RANK(ADVWAG[[#This Row],[BB League Total]],ADVWAG[BB League Total], 0)</f>
        <v>2</v>
      </c>
      <c r="L10" s="4">
        <v>0</v>
      </c>
      <c r="M10" s="4">
        <v>0</v>
      </c>
      <c r="N10" s="10">
        <f>ADVWAG[[#This Row],[UB Comp 1]]+ADVWAG[[#This Row],[UB Comp 2]]</f>
        <v>0</v>
      </c>
      <c r="O10" s="6">
        <f>RANK(ADVWAG[[#This Row],[UB League Total]],ADVWAG[UB League Total], 0)</f>
        <v>29</v>
      </c>
      <c r="P10" s="4">
        <v>90.756302521008408</v>
      </c>
      <c r="Q10" s="4">
        <v>87.603305785123965</v>
      </c>
      <c r="R10" s="10">
        <f>ADVWAG[[#This Row],[VT Comp 1]]+ADVWAG[[#This Row],[VT Comp 2]]</f>
        <v>178.35960830613237</v>
      </c>
      <c r="S10" s="6">
        <f>RANK(ADVWAG[[#This Row],[VT League Total]],ADVWAG[VT League Total], 0)</f>
        <v>13</v>
      </c>
      <c r="T10" s="4">
        <v>90.994623655913969</v>
      </c>
      <c r="U10" s="4">
        <v>83.646112600536171</v>
      </c>
      <c r="V10" s="10">
        <f>ADVWAG[[#This Row],[AA Comp 1]]+ADVWAG[[#This Row],[AA Comp 2]]</f>
        <v>174.64073625645014</v>
      </c>
      <c r="W10" s="6">
        <f>RANK(ADVWAG[[#This Row],[AA League Total]],ADVWAG[AA League Total], 0)</f>
        <v>9</v>
      </c>
    </row>
    <row r="11" spans="1:23" x14ac:dyDescent="0.2">
      <c r="A11"/>
      <c r="B11" t="s">
        <v>50</v>
      </c>
      <c r="C11" t="s">
        <v>127</v>
      </c>
      <c r="D11" s="4">
        <v>85.611510791366911</v>
      </c>
      <c r="E11" s="4">
        <v>83.458646616541344</v>
      </c>
      <c r="F11" s="10">
        <f>ADVWAG[[#This Row],[FX Comp 1]]+ADVWAG[[#This Row],[FX Comp 2]]</f>
        <v>169.07015740790825</v>
      </c>
      <c r="G11" s="6">
        <f>RANK(ADVWAG[[#This Row],[FX League Total]],ADVWAG[FX League Total], 0)</f>
        <v>12</v>
      </c>
      <c r="H11" s="4">
        <v>0</v>
      </c>
      <c r="I11" s="4">
        <v>0</v>
      </c>
      <c r="J11" s="10">
        <f>ADVWAG[[#This Row],[BB Comp 1]]+ADVWAG[[#This Row],[BB Comp 2]]</f>
        <v>0</v>
      </c>
      <c r="K11" s="6">
        <f>RANK(ADVWAG[[#This Row],[BB League Total]],ADVWAG[BB League Total], 0)</f>
        <v>21</v>
      </c>
      <c r="L11" s="4">
        <v>86.440677966101688</v>
      </c>
      <c r="M11" s="4">
        <v>75.59055118110237</v>
      </c>
      <c r="N11" s="10">
        <f>ADVWAG[[#This Row],[UB Comp 1]]+ADVWAG[[#This Row],[UB Comp 2]]</f>
        <v>162.03122914720404</v>
      </c>
      <c r="O11" s="6">
        <f>RANK(ADVWAG[[#This Row],[UB League Total]],ADVWAG[UB League Total], 0)</f>
        <v>7</v>
      </c>
      <c r="P11" s="4">
        <v>87.394957983193279</v>
      </c>
      <c r="Q11" s="4">
        <v>0</v>
      </c>
      <c r="R11" s="10">
        <f>ADVWAG[[#This Row],[VT Comp 1]]+ADVWAG[[#This Row],[VT Comp 2]]</f>
        <v>87.394957983193279</v>
      </c>
      <c r="S11" s="6">
        <f>RANK(ADVWAG[[#This Row],[VT League Total]],ADVWAG[VT League Total], 0)</f>
        <v>44</v>
      </c>
      <c r="T11" s="4">
        <v>87.365591397849457</v>
      </c>
      <c r="U11" s="4">
        <v>85.790884718498646</v>
      </c>
      <c r="V11" s="10">
        <f>ADVWAG[[#This Row],[AA Comp 1]]+ADVWAG[[#This Row],[AA Comp 2]]</f>
        <v>173.1564761163481</v>
      </c>
      <c r="W11" s="6">
        <f>RANK(ADVWAG[[#This Row],[AA League Total]],ADVWAG[AA League Total], 0)</f>
        <v>10</v>
      </c>
    </row>
    <row r="12" spans="1:23" x14ac:dyDescent="0.2">
      <c r="A12" s="21"/>
      <c r="B12" s="21" t="s">
        <v>63</v>
      </c>
      <c r="C12" s="19" t="s">
        <v>301</v>
      </c>
      <c r="D12" s="4">
        <v>92.805755395683448</v>
      </c>
      <c r="E12" s="4">
        <v>85.714285714285708</v>
      </c>
      <c r="F12" s="10">
        <f>ADVWAG[[#This Row],[FX Comp 1]]+ADVWAG[[#This Row],[FX Comp 2]]</f>
        <v>178.52004110996916</v>
      </c>
      <c r="G12" s="6">
        <f>RANK(ADVWAG[[#This Row],[FX League Total]],ADVWAG[FX League Total], 0)</f>
        <v>9</v>
      </c>
      <c r="H12" s="4">
        <v>78.542510121457482</v>
      </c>
      <c r="I12" s="4">
        <v>73.72881355932202</v>
      </c>
      <c r="J12" s="10">
        <f>ADVWAG[[#This Row],[BB Comp 1]]+ADVWAG[[#This Row],[BB Comp 2]]</f>
        <v>152.27132368077952</v>
      </c>
      <c r="K12" s="6">
        <f>RANK(ADVWAG[[#This Row],[BB League Total]],ADVWAG[BB League Total], 0)</f>
        <v>4</v>
      </c>
      <c r="L12" s="4">
        <v>0</v>
      </c>
      <c r="M12" s="4">
        <v>0</v>
      </c>
      <c r="N12" s="10">
        <f>ADVWAG[[#This Row],[UB Comp 1]]+ADVWAG[[#This Row],[UB Comp 2]]</f>
        <v>0</v>
      </c>
      <c r="O12" s="6">
        <f>RANK(ADVWAG[[#This Row],[UB League Total]],ADVWAG[UB League Total], 0)</f>
        <v>29</v>
      </c>
      <c r="P12" s="4">
        <v>91.17647058823529</v>
      </c>
      <c r="Q12" s="4">
        <v>88.429752066115697</v>
      </c>
      <c r="R12" s="10">
        <f>ADVWAG[[#This Row],[VT Comp 1]]+ADVWAG[[#This Row],[VT Comp 2]]</f>
        <v>179.60622265435097</v>
      </c>
      <c r="S12" s="6">
        <f>RANK(ADVWAG[[#This Row],[VT League Total]],ADVWAG[VT League Total], 0)</f>
        <v>11</v>
      </c>
      <c r="T12" s="4">
        <v>89.91935483870968</v>
      </c>
      <c r="U12" s="4">
        <v>82.573726541554947</v>
      </c>
      <c r="V12" s="10">
        <f>ADVWAG[[#This Row],[AA Comp 1]]+ADVWAG[[#This Row],[AA Comp 2]]</f>
        <v>172.49308138026464</v>
      </c>
      <c r="W12" s="6">
        <f>RANK(ADVWAG[[#This Row],[AA League Total]],ADVWAG[AA League Total], 0)</f>
        <v>11</v>
      </c>
    </row>
    <row r="13" spans="1:23" x14ac:dyDescent="0.2">
      <c r="A13"/>
      <c r="B13" s="21" t="s">
        <v>52</v>
      </c>
      <c r="C13" s="19" t="s">
        <v>324</v>
      </c>
      <c r="D13">
        <v>87.769784172661858</v>
      </c>
      <c r="E13">
        <v>86.46616541353383</v>
      </c>
      <c r="F13" s="10">
        <f>ADVWAG[[#This Row],[FX Comp 1]]+ADVWAG[[#This Row],[FX Comp 2]]</f>
        <v>174.23594958619569</v>
      </c>
      <c r="G13" s="6">
        <f>RANK(ADVWAG[[#This Row],[FX League Total]],ADVWAG[FX League Total], 0)</f>
        <v>11</v>
      </c>
      <c r="H13">
        <v>0</v>
      </c>
      <c r="I13">
        <v>0</v>
      </c>
      <c r="J13" s="10">
        <f>ADVWAG[[#This Row],[BB Comp 1]]+ADVWAG[[#This Row],[BB Comp 2]]</f>
        <v>0</v>
      </c>
      <c r="K13" s="6">
        <f>RANK(ADVWAG[[#This Row],[BB League Total]],ADVWAG[BB League Total], 0)</f>
        <v>21</v>
      </c>
      <c r="L13">
        <v>70.33898305084746</v>
      </c>
      <c r="M13">
        <v>84.251968503936993</v>
      </c>
      <c r="N13" s="10">
        <f>ADVWAG[[#This Row],[UB Comp 1]]+ADVWAG[[#This Row],[UB Comp 2]]</f>
        <v>154.59095155478445</v>
      </c>
      <c r="O13" s="6">
        <f>RANK(ADVWAG[[#This Row],[UB League Total]],ADVWAG[UB League Total], 0)</f>
        <v>8</v>
      </c>
      <c r="P13">
        <v>86.554621848739501</v>
      </c>
      <c r="Q13">
        <v>92.561983471074399</v>
      </c>
      <c r="R13" s="10">
        <f>ADVWAG[[#This Row],[VT Comp 1]]+ADVWAG[[#This Row],[VT Comp 2]]</f>
        <v>179.11660531981391</v>
      </c>
      <c r="S13" s="6">
        <f>RANK(ADVWAG[[#This Row],[VT League Total]],ADVWAG[VT League Total], 0)</f>
        <v>12</v>
      </c>
      <c r="T13">
        <v>82.79569892473117</v>
      </c>
      <c r="U13">
        <v>89.544235924932963</v>
      </c>
      <c r="V13" s="10">
        <f>ADVWAG[[#This Row],[AA Comp 1]]+ADVWAG[[#This Row],[AA Comp 2]]</f>
        <v>172.33993484966413</v>
      </c>
      <c r="W13" s="6">
        <f>RANK(ADVWAG[[#This Row],[AA League Total]],ADVWAG[AA League Total], 0)</f>
        <v>12</v>
      </c>
    </row>
    <row r="14" spans="1:23" x14ac:dyDescent="0.2">
      <c r="A14" s="21"/>
      <c r="B14" s="21" t="s">
        <v>43</v>
      </c>
      <c r="C14" s="19" t="s">
        <v>133</v>
      </c>
      <c r="D14">
        <v>91.366906474820127</v>
      </c>
      <c r="E14">
        <v>87.969924812030058</v>
      </c>
      <c r="F14" s="10">
        <f>ADVWAG[[#This Row],[FX Comp 1]]+ADVWAG[[#This Row],[FX Comp 2]]</f>
        <v>179.33683128685018</v>
      </c>
      <c r="G14" s="6">
        <f>RANK(ADVWAG[[#This Row],[FX League Total]],ADVWAG[FX League Total], 0)</f>
        <v>8</v>
      </c>
      <c r="H14">
        <v>76.518218623481786</v>
      </c>
      <c r="I14">
        <v>60.169491525423737</v>
      </c>
      <c r="J14" s="10">
        <f>ADVWAG[[#This Row],[BB Comp 1]]+ADVWAG[[#This Row],[BB Comp 2]]</f>
        <v>136.68771014890552</v>
      </c>
      <c r="K14" s="6">
        <f>RANK(ADVWAG[[#This Row],[BB League Total]],ADVWAG[BB League Total], 0)</f>
        <v>5</v>
      </c>
      <c r="L14">
        <v>0</v>
      </c>
      <c r="M14">
        <v>0</v>
      </c>
      <c r="N14" s="10">
        <f>ADVWAG[[#This Row],[UB Comp 1]]+ADVWAG[[#This Row],[UB Comp 2]]</f>
        <v>0</v>
      </c>
      <c r="O14" s="6">
        <f>RANK(ADVWAG[[#This Row],[UB League Total]],ADVWAG[UB League Total], 0)</f>
        <v>29</v>
      </c>
      <c r="P14">
        <v>87.394957983193279</v>
      </c>
      <c r="Q14">
        <v>94.214876033057863</v>
      </c>
      <c r="R14" s="10">
        <f>ADVWAG[[#This Row],[VT Comp 1]]+ADVWAG[[#This Row],[VT Comp 2]]</f>
        <v>181.60983401625114</v>
      </c>
      <c r="S14" s="6">
        <f>RANK(ADVWAG[[#This Row],[VT League Total]],ADVWAG[VT League Total], 0)</f>
        <v>10</v>
      </c>
      <c r="T14">
        <v>87.499999999999986</v>
      </c>
      <c r="U14">
        <v>80.965147453083105</v>
      </c>
      <c r="V14" s="10">
        <f>ADVWAG[[#This Row],[AA Comp 1]]+ADVWAG[[#This Row],[AA Comp 2]]</f>
        <v>168.46514745308309</v>
      </c>
      <c r="W14" s="6">
        <f>RANK(ADVWAG[[#This Row],[AA League Total]],ADVWAG[AA League Total], 0)</f>
        <v>13</v>
      </c>
    </row>
    <row r="15" spans="1:23" x14ac:dyDescent="0.2">
      <c r="A15" s="21"/>
      <c r="B15" s="21" t="s">
        <v>43</v>
      </c>
      <c r="C15" s="19" t="s">
        <v>131</v>
      </c>
      <c r="D15">
        <v>0</v>
      </c>
      <c r="E15">
        <v>91.729323308270665</v>
      </c>
      <c r="F15" s="10">
        <f>ADVWAG[[#This Row],[FX Comp 1]]+ADVWAG[[#This Row],[FX Comp 2]]</f>
        <v>91.729323308270665</v>
      </c>
      <c r="G15" s="6">
        <f>RANK(ADVWAG[[#This Row],[FX League Total]],ADVWAG[FX League Total], 0)</f>
        <v>27</v>
      </c>
      <c r="H15">
        <v>0</v>
      </c>
      <c r="I15">
        <v>0</v>
      </c>
      <c r="J15" s="10">
        <f>ADVWAG[[#This Row],[BB Comp 1]]+ADVWAG[[#This Row],[BB Comp 2]]</f>
        <v>0</v>
      </c>
      <c r="K15" s="6">
        <f>RANK(ADVWAG[[#This Row],[BB League Total]],ADVWAG[BB League Total], 0)</f>
        <v>21</v>
      </c>
      <c r="L15">
        <v>76.271186440677965</v>
      </c>
      <c r="M15">
        <v>86.614173228346445</v>
      </c>
      <c r="N15" s="10">
        <f>ADVWAG[[#This Row],[UB Comp 1]]+ADVWAG[[#This Row],[UB Comp 2]]</f>
        <v>162.88535966902441</v>
      </c>
      <c r="O15" s="6">
        <f>RANK(ADVWAG[[#This Row],[UB League Total]],ADVWAG[UB League Total], 0)</f>
        <v>6</v>
      </c>
      <c r="P15">
        <v>95.798319327731093</v>
      </c>
      <c r="Q15">
        <v>95.454545454545453</v>
      </c>
      <c r="R15" s="10">
        <f>ADVWAG[[#This Row],[VT Comp 1]]+ADVWAG[[#This Row],[VT Comp 2]]</f>
        <v>191.25286478227656</v>
      </c>
      <c r="S15" s="6">
        <f>RANK(ADVWAG[[#This Row],[VT League Total]],ADVWAG[VT League Total], 0)</f>
        <v>7</v>
      </c>
      <c r="T15">
        <v>54.838709677419352</v>
      </c>
      <c r="U15">
        <v>93.163538873994625</v>
      </c>
      <c r="V15" s="10">
        <f>ADVWAG[[#This Row],[AA Comp 1]]+ADVWAG[[#This Row],[AA Comp 2]]</f>
        <v>148.00224855141397</v>
      </c>
      <c r="W15" s="6">
        <f>RANK(ADVWAG[[#This Row],[AA League Total]],ADVWAG[AA League Total], 0)</f>
        <v>14</v>
      </c>
    </row>
    <row r="16" spans="1:23" x14ac:dyDescent="0.2">
      <c r="A16"/>
      <c r="B16" t="s">
        <v>65</v>
      </c>
      <c r="C16" t="s">
        <v>302</v>
      </c>
      <c r="D16" s="4">
        <v>80.575539568345306</v>
      </c>
      <c r="E16" s="4">
        <v>67.669172932330824</v>
      </c>
      <c r="F16" s="10">
        <f>ADVWAG[[#This Row],[FX Comp 1]]+ADVWAG[[#This Row],[FX Comp 2]]</f>
        <v>148.24471250067614</v>
      </c>
      <c r="G16" s="6">
        <f>RANK(ADVWAG[[#This Row],[FX League Total]],ADVWAG[FX League Total], 0)</f>
        <v>15</v>
      </c>
      <c r="H16" s="4">
        <v>77.327935222672068</v>
      </c>
      <c r="I16" s="4">
        <v>78.813559322033896</v>
      </c>
      <c r="J16" s="10">
        <f>ADVWAG[[#This Row],[BB Comp 1]]+ADVWAG[[#This Row],[BB Comp 2]]</f>
        <v>156.14149454470595</v>
      </c>
      <c r="K16" s="6">
        <f>RANK(ADVWAG[[#This Row],[BB League Total]],ADVWAG[BB League Total], 0)</f>
        <v>3</v>
      </c>
      <c r="L16" s="4">
        <v>0</v>
      </c>
      <c r="M16" s="4">
        <v>0</v>
      </c>
      <c r="N16" s="10">
        <f>ADVWAG[[#This Row],[UB Comp 1]]+ADVWAG[[#This Row],[UB Comp 2]]</f>
        <v>0</v>
      </c>
      <c r="O16" s="6">
        <f>RANK(ADVWAG[[#This Row],[UB League Total]],ADVWAG[UB League Total], 0)</f>
        <v>29</v>
      </c>
      <c r="P16" s="4">
        <v>88.235294117647058</v>
      </c>
      <c r="Q16" s="4">
        <v>0</v>
      </c>
      <c r="R16" s="10">
        <f>ADVWAG[[#This Row],[VT Comp 1]]+ADVWAG[[#This Row],[VT Comp 2]]</f>
        <v>88.235294117647058</v>
      </c>
      <c r="S16" s="6">
        <f>RANK(ADVWAG[[#This Row],[VT League Total]],ADVWAG[VT League Total], 0)</f>
        <v>42</v>
      </c>
      <c r="T16" s="4">
        <v>84.005376344086017</v>
      </c>
      <c r="U16" s="4">
        <v>49.061662198391417</v>
      </c>
      <c r="V16" s="10">
        <f>ADVWAG[[#This Row],[AA Comp 1]]+ADVWAG[[#This Row],[AA Comp 2]]</f>
        <v>133.06703854247743</v>
      </c>
      <c r="W16" s="6">
        <f>RANK(ADVWAG[[#This Row],[AA League Total]],ADVWAG[AA League Total], 0)</f>
        <v>15</v>
      </c>
    </row>
    <row r="17" spans="1:23" x14ac:dyDescent="0.2">
      <c r="A17" s="21"/>
      <c r="B17" s="21" t="s">
        <v>43</v>
      </c>
      <c r="C17" s="19" t="s">
        <v>132</v>
      </c>
      <c r="D17" s="4">
        <v>79.136690647482013</v>
      </c>
      <c r="E17" s="4">
        <v>87.218045112781951</v>
      </c>
      <c r="F17" s="10">
        <f>ADVWAG[[#This Row],[FX Comp 1]]+ADVWAG[[#This Row],[FX Comp 2]]</f>
        <v>166.35473576026396</v>
      </c>
      <c r="G17" s="6">
        <f>RANK(ADVWAG[[#This Row],[FX League Total]],ADVWAG[FX League Total], 0)</f>
        <v>14</v>
      </c>
      <c r="H17" s="4">
        <v>0</v>
      </c>
      <c r="I17" s="4">
        <v>0</v>
      </c>
      <c r="J17" s="10">
        <f>ADVWAG[[#This Row],[BB Comp 1]]+ADVWAG[[#This Row],[BB Comp 2]]</f>
        <v>0</v>
      </c>
      <c r="K17" s="6">
        <f>RANK(ADVWAG[[#This Row],[BB League Total]],ADVWAG[BB League Total], 0)</f>
        <v>21</v>
      </c>
      <c r="L17" s="4">
        <v>73.72881355932202</v>
      </c>
      <c r="M17" s="4">
        <v>0</v>
      </c>
      <c r="N17" s="10">
        <f>ADVWAG[[#This Row],[UB Comp 1]]+ADVWAG[[#This Row],[UB Comp 2]]</f>
        <v>73.72881355932202</v>
      </c>
      <c r="O17" s="6">
        <f>RANK(ADVWAG[[#This Row],[UB League Total]],ADVWAG[UB League Total], 0)</f>
        <v>26</v>
      </c>
      <c r="P17" s="4">
        <v>99.159663865546221</v>
      </c>
      <c r="Q17" s="4">
        <v>0</v>
      </c>
      <c r="R17" s="10">
        <f>ADVWAG[[#This Row],[VT Comp 1]]+ADVWAG[[#This Row],[VT Comp 2]]</f>
        <v>99.159663865546221</v>
      </c>
      <c r="S17" s="6">
        <f>RANK(ADVWAG[[#This Row],[VT League Total]],ADVWAG[VT League Total], 0)</f>
        <v>14</v>
      </c>
      <c r="T17" s="4">
        <v>84.677419354838705</v>
      </c>
      <c r="U17" s="4">
        <v>31.099195710455756</v>
      </c>
      <c r="V17" s="10">
        <f>ADVWAG[[#This Row],[AA Comp 1]]+ADVWAG[[#This Row],[AA Comp 2]]</f>
        <v>115.77661506529446</v>
      </c>
      <c r="W17" s="6">
        <f>RANK(ADVWAG[[#This Row],[AA League Total]],ADVWAG[AA League Total], 0)</f>
        <v>16</v>
      </c>
    </row>
    <row r="18" spans="1:23" x14ac:dyDescent="0.2">
      <c r="A18" s="1" t="s">
        <v>41</v>
      </c>
      <c r="B18" s="1" t="s">
        <v>42</v>
      </c>
      <c r="C18" s="1" t="s">
        <v>142</v>
      </c>
      <c r="D18" s="4">
        <v>100</v>
      </c>
      <c r="F18" s="10">
        <f>ADVWAG[[#This Row],[FX Comp 1]]+ADVWAG[[#This Row],[FX Comp 2]]</f>
        <v>100</v>
      </c>
      <c r="G18" s="6">
        <f>RANK(ADVWAG[[#This Row],[FX League Total]],ADVWAG[FX League Total], 0)</f>
        <v>16</v>
      </c>
      <c r="H18" s="4">
        <v>100</v>
      </c>
      <c r="J18" s="10">
        <f>ADVWAG[[#This Row],[BB Comp 1]]+ADVWAG[[#This Row],[BB Comp 2]]</f>
        <v>100</v>
      </c>
      <c r="K18" s="6">
        <f>RANK(ADVWAG[[#This Row],[BB League Total]],ADVWAG[BB League Total], 0)</f>
        <v>6</v>
      </c>
      <c r="L18" s="4">
        <v>0</v>
      </c>
      <c r="N18" s="10">
        <f>ADVWAG[[#This Row],[UB Comp 1]]+ADVWAG[[#This Row],[UB Comp 2]]</f>
        <v>0</v>
      </c>
      <c r="O18" s="6">
        <f>RANK(ADVWAG[[#This Row],[UB League Total]],ADVWAG[UB League Total], 0)</f>
        <v>29</v>
      </c>
      <c r="P18" s="4">
        <v>92.016806722689068</v>
      </c>
      <c r="R18" s="10">
        <f>ADVWAG[[#This Row],[VT Comp 1]]+ADVWAG[[#This Row],[VT Comp 2]]</f>
        <v>92.016806722689068</v>
      </c>
      <c r="S18" s="6">
        <f>RANK(ADVWAG[[#This Row],[VT League Total]],ADVWAG[VT League Total], 0)</f>
        <v>36</v>
      </c>
      <c r="T18" s="4">
        <v>100</v>
      </c>
      <c r="V18" s="10">
        <f>ADVWAG[[#This Row],[AA Comp 1]]+ADVWAG[[#This Row],[AA Comp 2]]</f>
        <v>100</v>
      </c>
      <c r="W18" s="6">
        <f>RANK(ADVWAG[[#This Row],[AA League Total]],ADVWAG[AA League Total], 0)</f>
        <v>17</v>
      </c>
    </row>
    <row r="19" spans="1:23" x14ac:dyDescent="0.2">
      <c r="A19"/>
      <c r="B19" t="s">
        <v>238</v>
      </c>
      <c r="C19" s="19" t="s">
        <v>305</v>
      </c>
      <c r="E19" s="4">
        <v>93.984962406015043</v>
      </c>
      <c r="F19" s="10">
        <f>ADVWAG[[#This Row],[FX Comp 1]]+ADVWAG[[#This Row],[FX Comp 2]]</f>
        <v>93.984962406015043</v>
      </c>
      <c r="G19" s="6">
        <f>RANK(ADVWAG[[#This Row],[FX League Total]],ADVWAG[FX League Total], 0)</f>
        <v>25</v>
      </c>
      <c r="I19" s="4">
        <v>0</v>
      </c>
      <c r="J19" s="10">
        <f>ADVWAG[[#This Row],[BB Comp 1]]+ADVWAG[[#This Row],[BB Comp 2]]</f>
        <v>0</v>
      </c>
      <c r="K19" s="6">
        <f>RANK(ADVWAG[[#This Row],[BB League Total]],ADVWAG[BB League Total], 0)</f>
        <v>21</v>
      </c>
      <c r="M19" s="4">
        <v>98.425196850393689</v>
      </c>
      <c r="N19" s="10">
        <f>ADVWAG[[#This Row],[UB Comp 1]]+ADVWAG[[#This Row],[UB Comp 2]]</f>
        <v>98.425196850393689</v>
      </c>
      <c r="O19" s="6">
        <f>RANK(ADVWAG[[#This Row],[UB League Total]],ADVWAG[UB League Total], 0)</f>
        <v>12</v>
      </c>
      <c r="Q19" s="4">
        <v>97.933884297520663</v>
      </c>
      <c r="R19" s="10">
        <f>ADVWAG[[#This Row],[VT Comp 1]]+ADVWAG[[#This Row],[VT Comp 2]]</f>
        <v>97.933884297520663</v>
      </c>
      <c r="S19" s="6">
        <f>RANK(ADVWAG[[#This Row],[VT League Total]],ADVWAG[VT League Total], 0)</f>
        <v>17</v>
      </c>
      <c r="U19" s="4">
        <v>98.793565683646108</v>
      </c>
      <c r="V19" s="10">
        <f>ADVWAG[[#This Row],[AA Comp 1]]+ADVWAG[[#This Row],[AA Comp 2]]</f>
        <v>98.793565683646108</v>
      </c>
      <c r="W19" s="6">
        <f>RANK(ADVWAG[[#This Row],[AA League Total]],ADVWAG[AA League Total], 0)</f>
        <v>18</v>
      </c>
    </row>
    <row r="20" spans="1:23" x14ac:dyDescent="0.2">
      <c r="A20"/>
      <c r="B20" t="s">
        <v>247</v>
      </c>
      <c r="C20" t="s">
        <v>307</v>
      </c>
      <c r="E20" s="4">
        <v>97.744360902255636</v>
      </c>
      <c r="F20" s="10">
        <f>ADVWAG[[#This Row],[FX Comp 1]]+ADVWAG[[#This Row],[FX Comp 2]]</f>
        <v>97.744360902255636</v>
      </c>
      <c r="G20" s="6">
        <f>RANK(ADVWAG[[#This Row],[FX League Total]],ADVWAG[FX League Total], 0)</f>
        <v>19</v>
      </c>
      <c r="I20" s="4">
        <v>100</v>
      </c>
      <c r="J20" s="10">
        <f>ADVWAG[[#This Row],[BB Comp 1]]+ADVWAG[[#This Row],[BB Comp 2]]</f>
        <v>100</v>
      </c>
      <c r="K20" s="6">
        <f>RANK(ADVWAG[[#This Row],[BB League Total]],ADVWAG[BB League Total], 0)</f>
        <v>6</v>
      </c>
      <c r="M20" s="4">
        <v>0</v>
      </c>
      <c r="N20" s="10">
        <f>ADVWAG[[#This Row],[UB Comp 1]]+ADVWAG[[#This Row],[UB Comp 2]]</f>
        <v>0</v>
      </c>
      <c r="O20" s="6">
        <f>RANK(ADVWAG[[#This Row],[UB League Total]],ADVWAG[UB League Total], 0)</f>
        <v>29</v>
      </c>
      <c r="Q20" s="4">
        <v>96.280991735537185</v>
      </c>
      <c r="R20" s="10">
        <f>ADVWAG[[#This Row],[VT Comp 1]]+ADVWAG[[#This Row],[VT Comp 2]]</f>
        <v>96.280991735537185</v>
      </c>
      <c r="S20" s="6">
        <f>RANK(ADVWAG[[#This Row],[VT League Total]],ADVWAG[VT League Total], 0)</f>
        <v>20</v>
      </c>
      <c r="U20" s="4">
        <v>97.721179624664884</v>
      </c>
      <c r="V20" s="10">
        <f>ADVWAG[[#This Row],[AA Comp 1]]+ADVWAG[[#This Row],[AA Comp 2]]</f>
        <v>97.721179624664884</v>
      </c>
      <c r="W20" s="6">
        <f>RANK(ADVWAG[[#This Row],[AA League Total]],ADVWAG[AA League Total], 0)</f>
        <v>19</v>
      </c>
    </row>
    <row r="21" spans="1:23" x14ac:dyDescent="0.2">
      <c r="A21"/>
      <c r="B21" s="21" t="s">
        <v>51</v>
      </c>
      <c r="C21" s="19" t="s">
        <v>319</v>
      </c>
      <c r="E21" s="4">
        <v>94.73684210526315</v>
      </c>
      <c r="F21" s="10">
        <f>ADVWAG[[#This Row],[FX Comp 1]]+ADVWAG[[#This Row],[FX Comp 2]]</f>
        <v>94.73684210526315</v>
      </c>
      <c r="G21" s="6">
        <f>RANK(ADVWAG[[#This Row],[FX League Total]],ADVWAG[FX League Total], 0)</f>
        <v>23</v>
      </c>
      <c r="I21" s="4">
        <v>0</v>
      </c>
      <c r="J21" s="10">
        <f>ADVWAG[[#This Row],[BB Comp 1]]+ADVWAG[[#This Row],[BB Comp 2]]</f>
        <v>0</v>
      </c>
      <c r="K21" s="6">
        <f>RANK(ADVWAG[[#This Row],[BB League Total]],ADVWAG[BB League Total], 0)</f>
        <v>21</v>
      </c>
      <c r="M21" s="4">
        <v>100</v>
      </c>
      <c r="N21" s="10">
        <f>ADVWAG[[#This Row],[UB Comp 1]]+ADVWAG[[#This Row],[UB Comp 2]]</f>
        <v>100</v>
      </c>
      <c r="O21" s="6">
        <f>RANK(ADVWAG[[#This Row],[UB League Total]],ADVWAG[UB League Total], 0)</f>
        <v>9</v>
      </c>
      <c r="Q21" s="4">
        <v>90.082644628099189</v>
      </c>
      <c r="R21" s="10">
        <f>ADVWAG[[#This Row],[VT Comp 1]]+ADVWAG[[#This Row],[VT Comp 2]]</f>
        <v>90.082644628099189</v>
      </c>
      <c r="S21" s="6">
        <f>RANK(ADVWAG[[#This Row],[VT League Total]],ADVWAG[VT League Total], 0)</f>
        <v>39</v>
      </c>
      <c r="U21" s="4">
        <v>97.050938337801611</v>
      </c>
      <c r="V21" s="10">
        <f>ADVWAG[[#This Row],[AA Comp 1]]+ADVWAG[[#This Row],[AA Comp 2]]</f>
        <v>97.050938337801611</v>
      </c>
      <c r="W21" s="6">
        <f>RANK(ADVWAG[[#This Row],[AA League Total]],ADVWAG[AA League Total], 0)</f>
        <v>20</v>
      </c>
    </row>
    <row r="22" spans="1:23" x14ac:dyDescent="0.2">
      <c r="A22"/>
      <c r="B22" t="s">
        <v>42</v>
      </c>
      <c r="C22" s="19" t="s">
        <v>312</v>
      </c>
      <c r="D22"/>
      <c r="E22">
        <v>91.729323308270665</v>
      </c>
      <c r="F22" s="10">
        <f>ADVWAG[[#This Row],[FX Comp 1]]+ADVWAG[[#This Row],[FX Comp 2]]</f>
        <v>91.729323308270665</v>
      </c>
      <c r="G22" s="6">
        <f>RANK(ADVWAG[[#This Row],[FX League Total]],ADVWAG[FX League Total], 0)</f>
        <v>27</v>
      </c>
      <c r="H22"/>
      <c r="I22">
        <v>0</v>
      </c>
      <c r="J22" s="10">
        <f>ADVWAG[[#This Row],[BB Comp 1]]+ADVWAG[[#This Row],[BB Comp 2]]</f>
        <v>0</v>
      </c>
      <c r="K22" s="6">
        <f>RANK(ADVWAG[[#This Row],[BB League Total]],ADVWAG[BB League Total], 0)</f>
        <v>21</v>
      </c>
      <c r="L22"/>
      <c r="M22">
        <v>94.488188976377941</v>
      </c>
      <c r="N22" s="10">
        <f>ADVWAG[[#This Row],[UB Comp 1]]+ADVWAG[[#This Row],[UB Comp 2]]</f>
        <v>94.488188976377941</v>
      </c>
      <c r="O22" s="6">
        <f>RANK(ADVWAG[[#This Row],[UB League Total]],ADVWAG[UB League Total], 0)</f>
        <v>14</v>
      </c>
      <c r="P22"/>
      <c r="Q22">
        <v>98.347107438016536</v>
      </c>
      <c r="R22" s="10">
        <f>ADVWAG[[#This Row],[VT Comp 1]]+ADVWAG[[#This Row],[VT Comp 2]]</f>
        <v>98.347107438016536</v>
      </c>
      <c r="S22" s="6">
        <f>RANK(ADVWAG[[#This Row],[VT League Total]],ADVWAG[VT League Total], 0)</f>
        <v>16</v>
      </c>
      <c r="T22"/>
      <c r="U22">
        <v>96.782841823056302</v>
      </c>
      <c r="V22" s="10">
        <f>ADVWAG[[#This Row],[AA Comp 1]]+ADVWAG[[#This Row],[AA Comp 2]]</f>
        <v>96.782841823056302</v>
      </c>
      <c r="W22" s="6">
        <f>RANK(ADVWAG[[#This Row],[AA League Total]],ADVWAG[AA League Total], 0)</f>
        <v>21</v>
      </c>
    </row>
    <row r="23" spans="1:23" x14ac:dyDescent="0.2">
      <c r="A23"/>
      <c r="B23" t="s">
        <v>79</v>
      </c>
      <c r="C23" s="19" t="s">
        <v>129</v>
      </c>
      <c r="D23" s="4">
        <v>0</v>
      </c>
      <c r="E23" s="4">
        <v>90.225563909774436</v>
      </c>
      <c r="F23" s="10">
        <f>ADVWAG[[#This Row],[FX Comp 1]]+ADVWAG[[#This Row],[FX Comp 2]]</f>
        <v>90.225563909774436</v>
      </c>
      <c r="G23" s="6">
        <f>RANK(ADVWAG[[#This Row],[FX League Total]],ADVWAG[FX League Total], 0)</f>
        <v>33</v>
      </c>
      <c r="H23" s="4">
        <v>0</v>
      </c>
      <c r="I23" s="4">
        <v>0</v>
      </c>
      <c r="J23" s="10">
        <f>ADVWAG[[#This Row],[BB Comp 1]]+ADVWAG[[#This Row],[BB Comp 2]]</f>
        <v>0</v>
      </c>
      <c r="K23" s="6">
        <f>RANK(ADVWAG[[#This Row],[BB League Total]],ADVWAG[BB League Total], 0)</f>
        <v>21</v>
      </c>
      <c r="L23" s="4">
        <v>0</v>
      </c>
      <c r="M23" s="4">
        <v>97.637795275590548</v>
      </c>
      <c r="N23" s="10">
        <f>ADVWAG[[#This Row],[UB Comp 1]]+ADVWAG[[#This Row],[UB Comp 2]]</f>
        <v>97.637795275590548</v>
      </c>
      <c r="O23" s="6">
        <f>RANK(ADVWAG[[#This Row],[UB League Total]],ADVWAG[UB League Total], 0)</f>
        <v>13</v>
      </c>
      <c r="P23" s="4">
        <v>0</v>
      </c>
      <c r="Q23" s="4">
        <v>94.214876033057863</v>
      </c>
      <c r="R23" s="10">
        <f>ADVWAG[[#This Row],[VT Comp 1]]+ADVWAG[[#This Row],[VT Comp 2]]</f>
        <v>94.214876033057863</v>
      </c>
      <c r="S23" s="6">
        <f>RANK(ADVWAG[[#This Row],[VT League Total]],ADVWAG[VT League Total], 0)</f>
        <v>30</v>
      </c>
      <c r="T23" s="4">
        <v>0</v>
      </c>
      <c r="U23" s="4">
        <v>95.978552278820359</v>
      </c>
      <c r="V23" s="10">
        <f>ADVWAG[[#This Row],[AA Comp 1]]+ADVWAG[[#This Row],[AA Comp 2]]</f>
        <v>95.978552278820359</v>
      </c>
      <c r="W23" s="6">
        <f>RANK(ADVWAG[[#This Row],[AA League Total]],ADVWAG[AA League Total], 0)</f>
        <v>22</v>
      </c>
    </row>
    <row r="24" spans="1:23" x14ac:dyDescent="0.2">
      <c r="A24"/>
      <c r="B24" s="21" t="s">
        <v>52</v>
      </c>
      <c r="C24" s="19" t="s">
        <v>325</v>
      </c>
      <c r="D24"/>
      <c r="E24">
        <v>91.729323308270665</v>
      </c>
      <c r="F24" s="10">
        <f>ADVWAG[[#This Row],[FX Comp 1]]+ADVWAG[[#This Row],[FX Comp 2]]</f>
        <v>91.729323308270665</v>
      </c>
      <c r="G24" s="6">
        <f>RANK(ADVWAG[[#This Row],[FX League Total]],ADVWAG[FX League Total], 0)</f>
        <v>27</v>
      </c>
      <c r="H24"/>
      <c r="I24">
        <v>0</v>
      </c>
      <c r="J24" s="10">
        <f>ADVWAG[[#This Row],[BB Comp 1]]+ADVWAG[[#This Row],[BB Comp 2]]</f>
        <v>0</v>
      </c>
      <c r="K24" s="6">
        <f>RANK(ADVWAG[[#This Row],[BB League Total]],ADVWAG[BB League Total], 0)</f>
        <v>21</v>
      </c>
      <c r="L24"/>
      <c r="M24">
        <v>92.125984251968504</v>
      </c>
      <c r="N24" s="10">
        <f>ADVWAG[[#This Row],[UB Comp 1]]+ADVWAG[[#This Row],[UB Comp 2]]</f>
        <v>92.125984251968504</v>
      </c>
      <c r="O24" s="6">
        <f>RANK(ADVWAG[[#This Row],[UB League Total]],ADVWAG[UB League Total], 0)</f>
        <v>15</v>
      </c>
      <c r="P24"/>
      <c r="Q24">
        <v>96.280991735537185</v>
      </c>
      <c r="R24" s="10">
        <f>ADVWAG[[#This Row],[VT Comp 1]]+ADVWAG[[#This Row],[VT Comp 2]]</f>
        <v>96.280991735537185</v>
      </c>
      <c r="S24" s="6">
        <f>RANK(ADVWAG[[#This Row],[VT League Total]],ADVWAG[VT League Total], 0)</f>
        <v>20</v>
      </c>
      <c r="T24"/>
      <c r="U24">
        <v>95.308310991957086</v>
      </c>
      <c r="V24" s="10">
        <f>ADVWAG[[#This Row],[AA Comp 1]]+ADVWAG[[#This Row],[AA Comp 2]]</f>
        <v>95.308310991957086</v>
      </c>
      <c r="W24" s="6">
        <f>RANK(ADVWAG[[#This Row],[AA League Total]],ADVWAG[AA League Total], 0)</f>
        <v>23</v>
      </c>
    </row>
    <row r="25" spans="1:23" x14ac:dyDescent="0.2">
      <c r="A25"/>
      <c r="B25" t="s">
        <v>42</v>
      </c>
      <c r="C25" s="19" t="s">
        <v>309</v>
      </c>
      <c r="D25"/>
      <c r="E25">
        <v>93.984962406015043</v>
      </c>
      <c r="F25" s="10">
        <f>ADVWAG[[#This Row],[FX Comp 1]]+ADVWAG[[#This Row],[FX Comp 2]]</f>
        <v>93.984962406015043</v>
      </c>
      <c r="G25" s="6">
        <f>RANK(ADVWAG[[#This Row],[FX League Total]],ADVWAG[FX League Total], 0)</f>
        <v>25</v>
      </c>
      <c r="H25"/>
      <c r="I25">
        <v>0</v>
      </c>
      <c r="J25" s="10">
        <f>ADVWAG[[#This Row],[BB Comp 1]]+ADVWAG[[#This Row],[BB Comp 2]]</f>
        <v>0</v>
      </c>
      <c r="K25" s="6">
        <f>RANK(ADVWAG[[#This Row],[BB League Total]],ADVWAG[BB League Total], 0)</f>
        <v>21</v>
      </c>
      <c r="L25"/>
      <c r="M25">
        <v>90.551181102362193</v>
      </c>
      <c r="N25" s="10">
        <f>ADVWAG[[#This Row],[UB Comp 1]]+ADVWAG[[#This Row],[UB Comp 2]]</f>
        <v>90.551181102362193</v>
      </c>
      <c r="O25" s="6">
        <f>RANK(ADVWAG[[#This Row],[UB League Total]],ADVWAG[UB League Total], 0)</f>
        <v>17</v>
      </c>
      <c r="P25"/>
      <c r="Q25">
        <v>93.801652892561975</v>
      </c>
      <c r="R25" s="10">
        <f>ADVWAG[[#This Row],[VT Comp 1]]+ADVWAG[[#This Row],[VT Comp 2]]</f>
        <v>93.801652892561975</v>
      </c>
      <c r="S25" s="6">
        <f>RANK(ADVWAG[[#This Row],[VT League Total]],ADVWAG[VT League Total], 0)</f>
        <v>32</v>
      </c>
      <c r="T25"/>
      <c r="U25">
        <v>94.772117962466481</v>
      </c>
      <c r="V25" s="10">
        <f>ADVWAG[[#This Row],[AA Comp 1]]+ADVWAG[[#This Row],[AA Comp 2]]</f>
        <v>94.772117962466481</v>
      </c>
      <c r="W25" s="6">
        <f>RANK(ADVWAG[[#This Row],[AA League Total]],ADVWAG[AA League Total], 0)</f>
        <v>24</v>
      </c>
    </row>
    <row r="26" spans="1:23" x14ac:dyDescent="0.2">
      <c r="A26" s="21"/>
      <c r="B26" s="21" t="s">
        <v>63</v>
      </c>
      <c r="C26" s="19" t="s">
        <v>314</v>
      </c>
      <c r="E26" s="4">
        <v>91.729323308270665</v>
      </c>
      <c r="F26" s="10">
        <f>ADVWAG[[#This Row],[FX Comp 1]]+ADVWAG[[#This Row],[FX Comp 2]]</f>
        <v>91.729323308270665</v>
      </c>
      <c r="G26" s="6">
        <f>RANK(ADVWAG[[#This Row],[FX League Total]],ADVWAG[FX League Total], 0)</f>
        <v>27</v>
      </c>
      <c r="I26" s="4">
        <v>0</v>
      </c>
      <c r="J26" s="10">
        <f>ADVWAG[[#This Row],[BB Comp 1]]+ADVWAG[[#This Row],[BB Comp 2]]</f>
        <v>0</v>
      </c>
      <c r="K26" s="6">
        <f>RANK(ADVWAG[[#This Row],[BB League Total]],ADVWAG[BB League Total], 0)</f>
        <v>21</v>
      </c>
      <c r="M26" s="4">
        <v>90.551181102362193</v>
      </c>
      <c r="N26" s="10">
        <f>ADVWAG[[#This Row],[UB Comp 1]]+ADVWAG[[#This Row],[UB Comp 2]]</f>
        <v>90.551181102362193</v>
      </c>
      <c r="O26" s="6">
        <f>RANK(ADVWAG[[#This Row],[UB League Total]],ADVWAG[UB League Total], 0)</f>
        <v>17</v>
      </c>
      <c r="Q26" s="4">
        <v>96.280991735537185</v>
      </c>
      <c r="R26" s="10">
        <f>ADVWAG[[#This Row],[VT Comp 1]]+ADVWAG[[#This Row],[VT Comp 2]]</f>
        <v>96.280991735537185</v>
      </c>
      <c r="S26" s="6">
        <f>RANK(ADVWAG[[#This Row],[VT League Total]],ADVWAG[VT League Total], 0)</f>
        <v>20</v>
      </c>
      <c r="U26" s="4">
        <v>94.772117962466481</v>
      </c>
      <c r="V26" s="10">
        <f>ADVWAG[[#This Row],[AA Comp 1]]+ADVWAG[[#This Row],[AA Comp 2]]</f>
        <v>94.772117962466481</v>
      </c>
      <c r="W26" s="6">
        <f>RANK(ADVWAG[[#This Row],[AA League Total]],ADVWAG[AA League Total], 0)</f>
        <v>24</v>
      </c>
    </row>
    <row r="27" spans="1:23" x14ac:dyDescent="0.2">
      <c r="A27" s="1"/>
      <c r="B27" s="1" t="s">
        <v>43</v>
      </c>
      <c r="C27" s="1" t="s">
        <v>130</v>
      </c>
      <c r="D27" s="4">
        <v>84.892086330935257</v>
      </c>
      <c r="F27" s="10">
        <f>ADVWAG[[#This Row],[FX Comp 1]]+ADVWAG[[#This Row],[FX Comp 2]]</f>
        <v>84.892086330935257</v>
      </c>
      <c r="G27" s="6">
        <f>RANK(ADVWAG[[#This Row],[FX League Total]],ADVWAG[FX League Total], 0)</f>
        <v>41</v>
      </c>
      <c r="H27" s="4">
        <v>0</v>
      </c>
      <c r="J27" s="10">
        <f>ADVWAG[[#This Row],[BB Comp 1]]+ADVWAG[[#This Row],[BB Comp 2]]</f>
        <v>0</v>
      </c>
      <c r="K27" s="6">
        <f>RANK(ADVWAG[[#This Row],[BB League Total]],ADVWAG[BB League Total], 0)</f>
        <v>21</v>
      </c>
      <c r="L27" s="4">
        <v>100</v>
      </c>
      <c r="N27" s="10">
        <f>ADVWAG[[#This Row],[UB Comp 1]]+ADVWAG[[#This Row],[UB Comp 2]]</f>
        <v>100</v>
      </c>
      <c r="O27" s="6">
        <f>RANK(ADVWAG[[#This Row],[UB League Total]],ADVWAG[UB League Total], 0)</f>
        <v>9</v>
      </c>
      <c r="P27" s="4">
        <v>97.899159663865547</v>
      </c>
      <c r="R27" s="10">
        <f>ADVWAG[[#This Row],[VT Comp 1]]+ADVWAG[[#This Row],[VT Comp 2]]</f>
        <v>97.899159663865547</v>
      </c>
      <c r="S27" s="6">
        <f>RANK(ADVWAG[[#This Row],[VT League Total]],ADVWAG[VT League Total], 0)</f>
        <v>18</v>
      </c>
      <c r="T27" s="4">
        <v>94.758064516129025</v>
      </c>
      <c r="V27" s="10">
        <f>ADVWAG[[#This Row],[AA Comp 1]]+ADVWAG[[#This Row],[AA Comp 2]]</f>
        <v>94.758064516129025</v>
      </c>
      <c r="W27" s="6">
        <f>RANK(ADVWAG[[#This Row],[AA League Total]],ADVWAG[AA League Total], 0)</f>
        <v>26</v>
      </c>
    </row>
    <row r="28" spans="1:23" x14ac:dyDescent="0.2">
      <c r="A28"/>
      <c r="B28" s="21" t="s">
        <v>64</v>
      </c>
      <c r="C28" s="19" t="s">
        <v>323</v>
      </c>
      <c r="E28" s="4">
        <v>100</v>
      </c>
      <c r="F28" s="10">
        <f>ADVWAG[[#This Row],[FX Comp 1]]+ADVWAG[[#This Row],[FX Comp 2]]</f>
        <v>100</v>
      </c>
      <c r="G28" s="6">
        <f>RANK(ADVWAG[[#This Row],[FX League Total]],ADVWAG[FX League Total], 0)</f>
        <v>16</v>
      </c>
      <c r="I28" s="4">
        <v>80.508474576271183</v>
      </c>
      <c r="J28" s="10">
        <f>ADVWAG[[#This Row],[BB Comp 1]]+ADVWAG[[#This Row],[BB Comp 2]]</f>
        <v>80.508474576271183</v>
      </c>
      <c r="K28" s="6">
        <f>RANK(ADVWAG[[#This Row],[BB League Total]],ADVWAG[BB League Total], 0)</f>
        <v>10</v>
      </c>
      <c r="M28" s="4">
        <v>0</v>
      </c>
      <c r="N28" s="10">
        <f>ADVWAG[[#This Row],[UB Comp 1]]+ADVWAG[[#This Row],[UB Comp 2]]</f>
        <v>0</v>
      </c>
      <c r="O28" s="6">
        <f>RANK(ADVWAG[[#This Row],[UB League Total]],ADVWAG[UB League Total], 0)</f>
        <v>29</v>
      </c>
      <c r="Q28" s="4">
        <v>96.280991735537185</v>
      </c>
      <c r="R28" s="10">
        <f>ADVWAG[[#This Row],[VT Comp 1]]+ADVWAG[[#This Row],[VT Comp 2]]</f>
        <v>96.280991735537185</v>
      </c>
      <c r="S28" s="6">
        <f>RANK(ADVWAG[[#This Row],[VT League Total]],ADVWAG[VT League Total], 0)</f>
        <v>20</v>
      </c>
      <c r="U28" s="4">
        <v>92.359249329758711</v>
      </c>
      <c r="V28" s="10">
        <f>ADVWAG[[#This Row],[AA Comp 1]]+ADVWAG[[#This Row],[AA Comp 2]]</f>
        <v>92.359249329758711</v>
      </c>
      <c r="W28" s="6">
        <f>RANK(ADVWAG[[#This Row],[AA League Total]],ADVWAG[AA League Total], 0)</f>
        <v>27</v>
      </c>
    </row>
    <row r="29" spans="1:23" x14ac:dyDescent="0.2">
      <c r="A29" s="1"/>
      <c r="B29" s="1" t="s">
        <v>78</v>
      </c>
      <c r="C29" s="1" t="s">
        <v>146</v>
      </c>
      <c r="D29" s="4">
        <v>99.280575539568346</v>
      </c>
      <c r="F29" s="10">
        <f>ADVWAG[[#This Row],[FX Comp 1]]+ADVWAG[[#This Row],[FX Comp 2]]</f>
        <v>99.280575539568346</v>
      </c>
      <c r="G29" s="6">
        <f>RANK(ADVWAG[[#This Row],[FX League Total]],ADVWAG[FX League Total], 0)</f>
        <v>18</v>
      </c>
      <c r="H29" s="4">
        <v>74.493927125506062</v>
      </c>
      <c r="J29" s="10">
        <f>ADVWAG[[#This Row],[BB Comp 1]]+ADVWAG[[#This Row],[BB Comp 2]]</f>
        <v>74.493927125506062</v>
      </c>
      <c r="K29" s="6">
        <f>RANK(ADVWAG[[#This Row],[BB League Total]],ADVWAG[BB League Total], 0)</f>
        <v>13</v>
      </c>
      <c r="L29" s="4">
        <v>0</v>
      </c>
      <c r="N29" s="10">
        <f>ADVWAG[[#This Row],[UB Comp 1]]+ADVWAG[[#This Row],[UB Comp 2]]</f>
        <v>0</v>
      </c>
      <c r="O29" s="6">
        <f>RANK(ADVWAG[[#This Row],[UB League Total]],ADVWAG[UB League Total], 0)</f>
        <v>29</v>
      </c>
      <c r="P29" s="4">
        <v>92.857142857142861</v>
      </c>
      <c r="R29" s="10">
        <f>ADVWAG[[#This Row],[VT Comp 1]]+ADVWAG[[#This Row],[VT Comp 2]]</f>
        <v>92.857142857142861</v>
      </c>
      <c r="S29" s="6">
        <f>RANK(ADVWAG[[#This Row],[VT League Total]],ADVWAG[VT League Total], 0)</f>
        <v>34</v>
      </c>
      <c r="T29" s="4">
        <v>91.532258064516114</v>
      </c>
      <c r="V29" s="10">
        <f>ADVWAG[[#This Row],[AA Comp 1]]+ADVWAG[[#This Row],[AA Comp 2]]</f>
        <v>91.532258064516114</v>
      </c>
      <c r="W29" s="6">
        <f>RANK(ADVWAG[[#This Row],[AA League Total]],ADVWAG[AA League Total], 0)</f>
        <v>28</v>
      </c>
    </row>
    <row r="30" spans="1:23" x14ac:dyDescent="0.2">
      <c r="A30"/>
      <c r="B30" s="21" t="s">
        <v>64</v>
      </c>
      <c r="C30" s="19" t="s">
        <v>322</v>
      </c>
      <c r="E30" s="4">
        <v>84.962406015037601</v>
      </c>
      <c r="F30" s="10">
        <f>ADVWAG[[#This Row],[FX Comp 1]]+ADVWAG[[#This Row],[FX Comp 2]]</f>
        <v>84.962406015037601</v>
      </c>
      <c r="G30" s="6">
        <f>RANK(ADVWAG[[#This Row],[FX League Total]],ADVWAG[FX League Total], 0)</f>
        <v>40</v>
      </c>
      <c r="I30" s="4">
        <v>0</v>
      </c>
      <c r="J30" s="10">
        <f>ADVWAG[[#This Row],[BB Comp 1]]+ADVWAG[[#This Row],[BB Comp 2]]</f>
        <v>0</v>
      </c>
      <c r="K30" s="6">
        <f>RANK(ADVWAG[[#This Row],[BB League Total]],ADVWAG[BB League Total], 0)</f>
        <v>21</v>
      </c>
      <c r="M30" s="4">
        <v>91.338582677165348</v>
      </c>
      <c r="N30" s="10">
        <f>ADVWAG[[#This Row],[UB Comp 1]]+ADVWAG[[#This Row],[UB Comp 2]]</f>
        <v>91.338582677165348</v>
      </c>
      <c r="O30" s="6">
        <f>RANK(ADVWAG[[#This Row],[UB League Total]],ADVWAG[UB League Total], 0)</f>
        <v>16</v>
      </c>
      <c r="Q30" s="4">
        <v>0</v>
      </c>
      <c r="R30" s="10">
        <f>ADVWAG[[#This Row],[VT Comp 1]]+ADVWAG[[#This Row],[VT Comp 2]]</f>
        <v>0</v>
      </c>
      <c r="S30" s="6">
        <f>RANK(ADVWAG[[#This Row],[VT League Total]],ADVWAG[VT League Total], 0)</f>
        <v>46</v>
      </c>
      <c r="U30" s="4">
        <v>90.482573726541546</v>
      </c>
      <c r="V30" s="10">
        <f>ADVWAG[[#This Row],[AA Comp 1]]+ADVWAG[[#This Row],[AA Comp 2]]</f>
        <v>90.482573726541546</v>
      </c>
      <c r="W30" s="6">
        <f>RANK(ADVWAG[[#This Row],[AA League Total]],ADVWAG[AA League Total], 0)</f>
        <v>29</v>
      </c>
    </row>
    <row r="31" spans="1:23" x14ac:dyDescent="0.2">
      <c r="A31" s="1"/>
      <c r="B31" s="1" t="s">
        <v>63</v>
      </c>
      <c r="C31" s="1" t="s">
        <v>123</v>
      </c>
      <c r="D31" s="4">
        <v>89.208633093525179</v>
      </c>
      <c r="F31" s="10">
        <f>ADVWAG[[#This Row],[FX Comp 1]]+ADVWAG[[#This Row],[FX Comp 2]]</f>
        <v>89.208633093525179</v>
      </c>
      <c r="G31" s="6">
        <f>RANK(ADVWAG[[#This Row],[FX League Total]],ADVWAG[FX League Total], 0)</f>
        <v>34</v>
      </c>
      <c r="H31" s="4">
        <v>0</v>
      </c>
      <c r="J31" s="10">
        <f>ADVWAG[[#This Row],[BB Comp 1]]+ADVWAG[[#This Row],[BB Comp 2]]</f>
        <v>0</v>
      </c>
      <c r="K31" s="6">
        <f>RANK(ADVWAG[[#This Row],[BB League Total]],ADVWAG[BB League Total], 0)</f>
        <v>21</v>
      </c>
      <c r="L31" s="4">
        <v>83.898305084745758</v>
      </c>
      <c r="N31" s="10">
        <f>ADVWAG[[#This Row],[UB Comp 1]]+ADVWAG[[#This Row],[UB Comp 2]]</f>
        <v>83.898305084745758</v>
      </c>
      <c r="O31" s="6">
        <f>RANK(ADVWAG[[#This Row],[UB League Total]],ADVWAG[UB League Total], 0)</f>
        <v>23</v>
      </c>
      <c r="P31" s="4">
        <v>94.957983193277315</v>
      </c>
      <c r="R31" s="10">
        <f>ADVWAG[[#This Row],[VT Comp 1]]+ADVWAG[[#This Row],[VT Comp 2]]</f>
        <v>94.957983193277315</v>
      </c>
      <c r="S31" s="6">
        <f>RANK(ADVWAG[[#This Row],[VT League Total]],ADVWAG[VT League Total], 0)</f>
        <v>27</v>
      </c>
      <c r="T31" s="4">
        <v>90.322580645161281</v>
      </c>
      <c r="V31" s="10">
        <f>ADVWAG[[#This Row],[AA Comp 1]]+ADVWAG[[#This Row],[AA Comp 2]]</f>
        <v>90.322580645161281</v>
      </c>
      <c r="W31" s="6">
        <f>RANK(ADVWAG[[#This Row],[AA League Total]],ADVWAG[AA League Total], 0)</f>
        <v>30</v>
      </c>
    </row>
    <row r="32" spans="1:23" x14ac:dyDescent="0.2">
      <c r="A32"/>
      <c r="B32" t="s">
        <v>247</v>
      </c>
      <c r="C32" t="s">
        <v>308</v>
      </c>
      <c r="E32" s="4">
        <v>97.744360902255636</v>
      </c>
      <c r="F32" s="10">
        <f>ADVWAG[[#This Row],[FX Comp 1]]+ADVWAG[[#This Row],[FX Comp 2]]</f>
        <v>97.744360902255636</v>
      </c>
      <c r="G32" s="6">
        <f>RANK(ADVWAG[[#This Row],[FX League Total]],ADVWAG[FX League Total], 0)</f>
        <v>19</v>
      </c>
      <c r="I32" s="4">
        <v>78.813559322033896</v>
      </c>
      <c r="J32" s="10">
        <f>ADVWAG[[#This Row],[BB Comp 1]]+ADVWAG[[#This Row],[BB Comp 2]]</f>
        <v>78.813559322033896</v>
      </c>
      <c r="K32" s="6">
        <f>RANK(ADVWAG[[#This Row],[BB League Total]],ADVWAG[BB League Total], 0)</f>
        <v>12</v>
      </c>
      <c r="M32" s="4">
        <v>0</v>
      </c>
      <c r="N32" s="10">
        <f>ADVWAG[[#This Row],[UB Comp 1]]+ADVWAG[[#This Row],[UB Comp 2]]</f>
        <v>0</v>
      </c>
      <c r="O32" s="6">
        <f>RANK(ADVWAG[[#This Row],[UB League Total]],ADVWAG[UB League Total], 0)</f>
        <v>29</v>
      </c>
      <c r="Q32" s="4">
        <v>93.388429752066131</v>
      </c>
      <c r="R32" s="10">
        <f>ADVWAG[[#This Row],[VT Comp 1]]+ADVWAG[[#This Row],[VT Comp 2]]</f>
        <v>93.388429752066131</v>
      </c>
      <c r="S32" s="6">
        <f>RANK(ADVWAG[[#This Row],[VT League Total]],ADVWAG[VT League Total], 0)</f>
        <v>33</v>
      </c>
      <c r="U32" s="4">
        <v>90.080428954423581</v>
      </c>
      <c r="V32" s="10">
        <f>ADVWAG[[#This Row],[AA Comp 1]]+ADVWAG[[#This Row],[AA Comp 2]]</f>
        <v>90.080428954423581</v>
      </c>
      <c r="W32" s="6">
        <f>RANK(ADVWAG[[#This Row],[AA League Total]],ADVWAG[AA League Total], 0)</f>
        <v>31</v>
      </c>
    </row>
    <row r="33" spans="1:23" x14ac:dyDescent="0.2">
      <c r="A33" s="1"/>
      <c r="B33" s="1" t="s">
        <v>52</v>
      </c>
      <c r="C33" s="1" t="s">
        <v>137</v>
      </c>
      <c r="D33" s="4">
        <v>88.489208633093526</v>
      </c>
      <c r="F33" s="10">
        <f>ADVWAG[[#This Row],[FX Comp 1]]+ADVWAG[[#This Row],[FX Comp 2]]</f>
        <v>88.489208633093526</v>
      </c>
      <c r="G33" s="6">
        <f>RANK(ADVWAG[[#This Row],[FX League Total]],ADVWAG[FX League Total], 0)</f>
        <v>35</v>
      </c>
      <c r="H33" s="4">
        <v>0</v>
      </c>
      <c r="J33" s="10">
        <f>ADVWAG[[#This Row],[BB Comp 1]]+ADVWAG[[#This Row],[BB Comp 2]]</f>
        <v>0</v>
      </c>
      <c r="K33" s="6">
        <f>RANK(ADVWAG[[#This Row],[BB League Total]],ADVWAG[BB League Total], 0)</f>
        <v>21</v>
      </c>
      <c r="L33" s="4">
        <v>88.135593220338976</v>
      </c>
      <c r="N33" s="10">
        <f>ADVWAG[[#This Row],[UB Comp 1]]+ADVWAG[[#This Row],[UB Comp 2]]</f>
        <v>88.135593220338976</v>
      </c>
      <c r="O33" s="6">
        <f>RANK(ADVWAG[[#This Row],[UB League Total]],ADVWAG[UB League Total], 0)</f>
        <v>20</v>
      </c>
      <c r="P33" s="4">
        <v>89.915966386554615</v>
      </c>
      <c r="R33" s="10">
        <f>ADVWAG[[#This Row],[VT Comp 1]]+ADVWAG[[#This Row],[VT Comp 2]]</f>
        <v>89.915966386554615</v>
      </c>
      <c r="S33" s="6">
        <f>RANK(ADVWAG[[#This Row],[VT League Total]],ADVWAG[VT League Total], 0)</f>
        <v>40</v>
      </c>
      <c r="T33" s="4">
        <v>89.784946236559151</v>
      </c>
      <c r="V33" s="10">
        <f>ADVWAG[[#This Row],[AA Comp 1]]+ADVWAG[[#This Row],[AA Comp 2]]</f>
        <v>89.784946236559151</v>
      </c>
      <c r="W33" s="6">
        <f>RANK(ADVWAG[[#This Row],[AA League Total]],ADVWAG[AA League Total], 0)</f>
        <v>32</v>
      </c>
    </row>
    <row r="34" spans="1:23" x14ac:dyDescent="0.2">
      <c r="A34" s="1"/>
      <c r="B34" s="1" t="s">
        <v>51</v>
      </c>
      <c r="C34" s="1" t="s">
        <v>138</v>
      </c>
      <c r="D34">
        <v>88.489208633093526</v>
      </c>
      <c r="E34"/>
      <c r="F34" s="10">
        <f>ADVWAG[[#This Row],[FX Comp 1]]+ADVWAG[[#This Row],[FX Comp 2]]</f>
        <v>88.489208633093526</v>
      </c>
      <c r="G34" s="6">
        <f>RANK(ADVWAG[[#This Row],[FX League Total]],ADVWAG[FX League Total], 0)</f>
        <v>35</v>
      </c>
      <c r="H34">
        <v>0</v>
      </c>
      <c r="I34"/>
      <c r="J34" s="10">
        <f>ADVWAG[[#This Row],[BB Comp 1]]+ADVWAG[[#This Row],[BB Comp 2]]</f>
        <v>0</v>
      </c>
      <c r="K34" s="6">
        <f>RANK(ADVWAG[[#This Row],[BB League Total]],ADVWAG[BB League Total], 0)</f>
        <v>21</v>
      </c>
      <c r="L34">
        <v>80.508474576271183</v>
      </c>
      <c r="M34"/>
      <c r="N34" s="10">
        <f>ADVWAG[[#This Row],[UB Comp 1]]+ADVWAG[[#This Row],[UB Comp 2]]</f>
        <v>80.508474576271183</v>
      </c>
      <c r="O34" s="6">
        <f>RANK(ADVWAG[[#This Row],[UB League Total]],ADVWAG[UB League Total], 0)</f>
        <v>25</v>
      </c>
      <c r="P34">
        <v>96.638655462184872</v>
      </c>
      <c r="Q34"/>
      <c r="R34" s="10">
        <f>ADVWAG[[#This Row],[VT Comp 1]]+ADVWAG[[#This Row],[VT Comp 2]]</f>
        <v>96.638655462184872</v>
      </c>
      <c r="S34" s="6">
        <f>RANK(ADVWAG[[#This Row],[VT League Total]],ADVWAG[VT League Total], 0)</f>
        <v>19</v>
      </c>
      <c r="T34">
        <v>89.51612903225805</v>
      </c>
      <c r="U34"/>
      <c r="V34" s="10">
        <f>ADVWAG[[#This Row],[AA Comp 1]]+ADVWAG[[#This Row],[AA Comp 2]]</f>
        <v>89.51612903225805</v>
      </c>
      <c r="W34" s="6">
        <f>RANK(ADVWAG[[#This Row],[AA League Total]],ADVWAG[AA League Total], 0)</f>
        <v>33</v>
      </c>
    </row>
    <row r="35" spans="1:23" x14ac:dyDescent="0.2">
      <c r="A35"/>
      <c r="B35" t="s">
        <v>238</v>
      </c>
      <c r="C35" s="19" t="s">
        <v>306</v>
      </c>
      <c r="E35" s="4">
        <v>81.954887218045116</v>
      </c>
      <c r="F35" s="10">
        <f>ADVWAG[[#This Row],[FX Comp 1]]+ADVWAG[[#This Row],[FX Comp 2]]</f>
        <v>81.954887218045116</v>
      </c>
      <c r="G35" s="6">
        <f>RANK(ADVWAG[[#This Row],[FX League Total]],ADVWAG[FX League Total], 0)</f>
        <v>42</v>
      </c>
      <c r="I35" s="4">
        <v>0</v>
      </c>
      <c r="J35" s="10">
        <f>ADVWAG[[#This Row],[BB Comp 1]]+ADVWAG[[#This Row],[BB Comp 2]]</f>
        <v>0</v>
      </c>
      <c r="K35" s="6">
        <f>RANK(ADVWAG[[#This Row],[BB League Total]],ADVWAG[BB League Total], 0)</f>
        <v>21</v>
      </c>
      <c r="M35" s="4">
        <v>86.614173228346445</v>
      </c>
      <c r="N35" s="10">
        <f>ADVWAG[[#This Row],[UB Comp 1]]+ADVWAG[[#This Row],[UB Comp 2]]</f>
        <v>86.614173228346445</v>
      </c>
      <c r="O35" s="6">
        <f>RANK(ADVWAG[[#This Row],[UB League Total]],ADVWAG[UB League Total], 0)</f>
        <v>22</v>
      </c>
      <c r="Q35" s="4">
        <v>94.214876033057863</v>
      </c>
      <c r="R35" s="10">
        <f>ADVWAG[[#This Row],[VT Comp 1]]+ADVWAG[[#This Row],[VT Comp 2]]</f>
        <v>94.214876033057863</v>
      </c>
      <c r="S35" s="6">
        <f>RANK(ADVWAG[[#This Row],[VT League Total]],ADVWAG[VT League Total], 0)</f>
        <v>30</v>
      </c>
      <c r="U35" s="4">
        <v>89.276139410187653</v>
      </c>
      <c r="V35" s="10">
        <f>ADVWAG[[#This Row],[AA Comp 1]]+ADVWAG[[#This Row],[AA Comp 2]]</f>
        <v>89.276139410187653</v>
      </c>
      <c r="W35" s="6">
        <f>RANK(ADVWAG[[#This Row],[AA League Total]],ADVWAG[AA League Total], 0)</f>
        <v>34</v>
      </c>
    </row>
    <row r="36" spans="1:23" x14ac:dyDescent="0.2">
      <c r="A36"/>
      <c r="B36" t="s">
        <v>65</v>
      </c>
      <c r="C36" t="s">
        <v>304</v>
      </c>
      <c r="E36" s="4">
        <v>76.691729323308266</v>
      </c>
      <c r="F36" s="10">
        <f>ADVWAG[[#This Row],[FX Comp 1]]+ADVWAG[[#This Row],[FX Comp 2]]</f>
        <v>76.691729323308266</v>
      </c>
      <c r="G36" s="6">
        <f>RANK(ADVWAG[[#This Row],[FX League Total]],ADVWAG[FX League Total], 0)</f>
        <v>47</v>
      </c>
      <c r="I36" s="4">
        <v>0</v>
      </c>
      <c r="J36" s="10">
        <f>ADVWAG[[#This Row],[BB Comp 1]]+ADVWAG[[#This Row],[BB Comp 2]]</f>
        <v>0</v>
      </c>
      <c r="K36" s="6">
        <f>RANK(ADVWAG[[#This Row],[BB League Total]],ADVWAG[BB League Total], 0)</f>
        <v>21</v>
      </c>
      <c r="M36" s="4">
        <v>88.976377952755897</v>
      </c>
      <c r="N36" s="10">
        <f>ADVWAG[[#This Row],[UB Comp 1]]+ADVWAG[[#This Row],[UB Comp 2]]</f>
        <v>88.976377952755897</v>
      </c>
      <c r="O36" s="6">
        <f>RANK(ADVWAG[[#This Row],[UB League Total]],ADVWAG[UB League Total], 0)</f>
        <v>19</v>
      </c>
      <c r="Q36" s="4">
        <v>95.454545454545453</v>
      </c>
      <c r="R36" s="10">
        <f>ADVWAG[[#This Row],[VT Comp 1]]+ADVWAG[[#This Row],[VT Comp 2]]</f>
        <v>95.454545454545453</v>
      </c>
      <c r="S36" s="6">
        <f>RANK(ADVWAG[[#This Row],[VT League Total]],ADVWAG[VT League Total], 0)</f>
        <v>25</v>
      </c>
      <c r="U36" s="4">
        <v>88.60589812332438</v>
      </c>
      <c r="V36" s="10">
        <f>ADVWAG[[#This Row],[AA Comp 1]]+ADVWAG[[#This Row],[AA Comp 2]]</f>
        <v>88.60589812332438</v>
      </c>
      <c r="W36" s="6">
        <f>RANK(ADVWAG[[#This Row],[AA League Total]],ADVWAG[AA League Total], 0)</f>
        <v>35</v>
      </c>
    </row>
    <row r="37" spans="1:23" x14ac:dyDescent="0.2">
      <c r="A37"/>
      <c r="B37" t="s">
        <v>42</v>
      </c>
      <c r="C37" s="19" t="s">
        <v>144</v>
      </c>
      <c r="D37">
        <v>0</v>
      </c>
      <c r="E37">
        <v>96.992481203007515</v>
      </c>
      <c r="F37" s="10">
        <f>ADVWAG[[#This Row],[FX Comp 1]]+ADVWAG[[#This Row],[FX Comp 2]]</f>
        <v>96.992481203007515</v>
      </c>
      <c r="G37" s="6">
        <f>RANK(ADVWAG[[#This Row],[FX League Total]],ADVWAG[FX League Total], 0)</f>
        <v>21</v>
      </c>
      <c r="H37">
        <v>0</v>
      </c>
      <c r="I37">
        <v>80.508474576271183</v>
      </c>
      <c r="J37" s="10">
        <f>ADVWAG[[#This Row],[BB Comp 1]]+ADVWAG[[#This Row],[BB Comp 2]]</f>
        <v>80.508474576271183</v>
      </c>
      <c r="K37" s="6">
        <f>RANK(ADVWAG[[#This Row],[BB League Total]],ADVWAG[BB League Total], 0)</f>
        <v>10</v>
      </c>
      <c r="L37">
        <v>0</v>
      </c>
      <c r="M37">
        <v>0</v>
      </c>
      <c r="N37" s="10">
        <f>ADVWAG[[#This Row],[UB Comp 1]]+ADVWAG[[#This Row],[UB Comp 2]]</f>
        <v>0</v>
      </c>
      <c r="O37" s="6">
        <f>RANK(ADVWAG[[#This Row],[UB League Total]],ADVWAG[UB League Total], 0)</f>
        <v>29</v>
      </c>
      <c r="P37">
        <v>0</v>
      </c>
      <c r="Q37">
        <v>88.016528925619838</v>
      </c>
      <c r="R37" s="10">
        <f>ADVWAG[[#This Row],[VT Comp 1]]+ADVWAG[[#This Row],[VT Comp 2]]</f>
        <v>88.016528925619838</v>
      </c>
      <c r="S37" s="6">
        <f>RANK(ADVWAG[[#This Row],[VT League Total]],ADVWAG[VT League Total], 0)</f>
        <v>43</v>
      </c>
      <c r="T37">
        <v>0</v>
      </c>
      <c r="U37">
        <v>88.60589812332438</v>
      </c>
      <c r="V37" s="10">
        <f>ADVWAG[[#This Row],[AA Comp 1]]+ADVWAG[[#This Row],[AA Comp 2]]</f>
        <v>88.60589812332438</v>
      </c>
      <c r="W37" s="6">
        <f>RANK(ADVWAG[[#This Row],[AA League Total]],ADVWAG[AA League Total], 0)</f>
        <v>35</v>
      </c>
    </row>
    <row r="38" spans="1:23" x14ac:dyDescent="0.2">
      <c r="A38"/>
      <c r="B38" s="21" t="s">
        <v>51</v>
      </c>
      <c r="C38" s="19" t="s">
        <v>320</v>
      </c>
      <c r="E38" s="4">
        <v>87.218045112781951</v>
      </c>
      <c r="F38" s="10">
        <f>ADVWAG[[#This Row],[FX Comp 1]]+ADVWAG[[#This Row],[FX Comp 2]]</f>
        <v>87.218045112781951</v>
      </c>
      <c r="G38" s="6">
        <f>RANK(ADVWAG[[#This Row],[FX League Total]],ADVWAG[FX League Total], 0)</f>
        <v>37</v>
      </c>
      <c r="I38" s="4">
        <v>0</v>
      </c>
      <c r="J38" s="10">
        <f>ADVWAG[[#This Row],[BB Comp 1]]+ADVWAG[[#This Row],[BB Comp 2]]</f>
        <v>0</v>
      </c>
      <c r="K38" s="6">
        <f>RANK(ADVWAG[[#This Row],[BB League Total]],ADVWAG[BB League Total], 0)</f>
        <v>21</v>
      </c>
      <c r="M38" s="4">
        <v>73.228346456692918</v>
      </c>
      <c r="N38" s="10">
        <f>ADVWAG[[#This Row],[UB Comp 1]]+ADVWAG[[#This Row],[UB Comp 2]]</f>
        <v>73.228346456692918</v>
      </c>
      <c r="O38" s="6">
        <f>RANK(ADVWAG[[#This Row],[UB League Total]],ADVWAG[UB League Total], 0)</f>
        <v>27</v>
      </c>
      <c r="Q38" s="4">
        <v>95.454545454545453</v>
      </c>
      <c r="R38" s="10">
        <f>ADVWAG[[#This Row],[VT Comp 1]]+ADVWAG[[#This Row],[VT Comp 2]]</f>
        <v>95.454545454545453</v>
      </c>
      <c r="S38" s="6">
        <f>RANK(ADVWAG[[#This Row],[VT League Total]],ADVWAG[VT League Total], 0)</f>
        <v>25</v>
      </c>
      <c r="U38" s="4">
        <v>86.997319034852552</v>
      </c>
      <c r="V38" s="10">
        <f>ADVWAG[[#This Row],[AA Comp 1]]+ADVWAG[[#This Row],[AA Comp 2]]</f>
        <v>86.997319034852552</v>
      </c>
      <c r="W38" s="6">
        <f>RANK(ADVWAG[[#This Row],[AA League Total]],ADVWAG[AA League Total], 0)</f>
        <v>37</v>
      </c>
    </row>
    <row r="39" spans="1:23" x14ac:dyDescent="0.2">
      <c r="A39" s="1"/>
      <c r="B39" s="1" t="s">
        <v>52</v>
      </c>
      <c r="C39" s="1" t="s">
        <v>136</v>
      </c>
      <c r="D39" s="4">
        <v>87.050359712230204</v>
      </c>
      <c r="F39" s="10">
        <f>ADVWAG[[#This Row],[FX Comp 1]]+ADVWAG[[#This Row],[FX Comp 2]]</f>
        <v>87.050359712230204</v>
      </c>
      <c r="G39" s="6">
        <f>RANK(ADVWAG[[#This Row],[FX League Total]],ADVWAG[FX League Total], 0)</f>
        <v>38</v>
      </c>
      <c r="H39" s="4">
        <v>70.040485829959522</v>
      </c>
      <c r="J39" s="10">
        <f>ADVWAG[[#This Row],[BB Comp 1]]+ADVWAG[[#This Row],[BB Comp 2]]</f>
        <v>70.040485829959522</v>
      </c>
      <c r="K39" s="6">
        <f>RANK(ADVWAG[[#This Row],[BB League Total]],ADVWAG[BB League Total], 0)</f>
        <v>15</v>
      </c>
      <c r="L39" s="4">
        <v>0</v>
      </c>
      <c r="N39" s="10">
        <f>ADVWAG[[#This Row],[UB Comp 1]]+ADVWAG[[#This Row],[UB Comp 2]]</f>
        <v>0</v>
      </c>
      <c r="O39" s="6">
        <f>RANK(ADVWAG[[#This Row],[UB League Total]],ADVWAG[UB League Total], 0)</f>
        <v>29</v>
      </c>
      <c r="P39" s="4">
        <v>96.218487394957975</v>
      </c>
      <c r="R39" s="10">
        <f>ADVWAG[[#This Row],[VT Comp 1]]+ADVWAG[[#This Row],[VT Comp 2]]</f>
        <v>96.218487394957975</v>
      </c>
      <c r="S39" s="6">
        <f>RANK(ADVWAG[[#This Row],[VT League Total]],ADVWAG[VT League Total], 0)</f>
        <v>24</v>
      </c>
      <c r="T39" s="4">
        <v>86.55913978494624</v>
      </c>
      <c r="V39" s="10">
        <f>ADVWAG[[#This Row],[AA Comp 1]]+ADVWAG[[#This Row],[AA Comp 2]]</f>
        <v>86.55913978494624</v>
      </c>
      <c r="W39" s="6">
        <f>RANK(ADVWAG[[#This Row],[AA League Total]],ADVWAG[AA League Total], 0)</f>
        <v>38</v>
      </c>
    </row>
    <row r="40" spans="1:23" x14ac:dyDescent="0.2">
      <c r="A40"/>
      <c r="B40" t="s">
        <v>79</v>
      </c>
      <c r="C40" s="19" t="s">
        <v>158</v>
      </c>
      <c r="E40" s="4">
        <v>91.729323308270665</v>
      </c>
      <c r="F40" s="10">
        <f>ADVWAG[[#This Row],[FX Comp 1]]+ADVWAG[[#This Row],[FX Comp 2]]</f>
        <v>91.729323308270665</v>
      </c>
      <c r="G40" s="6">
        <f>RANK(ADVWAG[[#This Row],[FX League Total]],ADVWAG[FX League Total], 0)</f>
        <v>27</v>
      </c>
      <c r="I40" s="4">
        <v>67.796610169491515</v>
      </c>
      <c r="J40" s="10">
        <f>ADVWAG[[#This Row],[BB Comp 1]]+ADVWAG[[#This Row],[BB Comp 2]]</f>
        <v>67.796610169491515</v>
      </c>
      <c r="K40" s="6">
        <f>RANK(ADVWAG[[#This Row],[BB League Total]],ADVWAG[BB League Total], 0)</f>
        <v>16</v>
      </c>
      <c r="M40" s="4">
        <v>0</v>
      </c>
      <c r="N40" s="10">
        <f>ADVWAG[[#This Row],[UB Comp 1]]+ADVWAG[[#This Row],[UB Comp 2]]</f>
        <v>0</v>
      </c>
      <c r="O40" s="6">
        <f>RANK(ADVWAG[[#This Row],[UB League Total]],ADVWAG[UB League Total], 0)</f>
        <v>29</v>
      </c>
      <c r="Q40" s="4">
        <v>98.760330578512409</v>
      </c>
      <c r="R40" s="10">
        <f>ADVWAG[[#This Row],[VT Comp 1]]+ADVWAG[[#This Row],[VT Comp 2]]</f>
        <v>98.760330578512409</v>
      </c>
      <c r="S40" s="6">
        <f>RANK(ADVWAG[[#This Row],[VT League Total]],ADVWAG[VT League Total], 0)</f>
        <v>15</v>
      </c>
      <c r="U40" s="4">
        <v>86.19302949061661</v>
      </c>
      <c r="V40" s="10">
        <f>ADVWAG[[#This Row],[AA Comp 1]]+ADVWAG[[#This Row],[AA Comp 2]]</f>
        <v>86.19302949061661</v>
      </c>
      <c r="W40" s="6">
        <f>RANK(ADVWAG[[#This Row],[AA League Total]],ADVWAG[AA League Total], 0)</f>
        <v>39</v>
      </c>
    </row>
    <row r="41" spans="1:23" ht="70" x14ac:dyDescent="0.2">
      <c r="A41"/>
      <c r="B41" t="s">
        <v>79</v>
      </c>
      <c r="C41" t="s">
        <v>159</v>
      </c>
      <c r="D41" s="2"/>
      <c r="E41" s="2">
        <v>96.240601503759393</v>
      </c>
      <c r="F41" s="3">
        <f>ADVWAG[[#This Row],[FX Comp 1]]+ADVWAG[[#This Row],[FX Comp 2]]</f>
        <v>96.240601503759393</v>
      </c>
      <c r="G41" s="3">
        <f>RANK(ADVWAG[[#This Row],[FX League Total]],ADVWAG[FX League Total], 0)</f>
        <v>22</v>
      </c>
      <c r="H41" s="2"/>
      <c r="I41" s="2">
        <v>72.033898305084747</v>
      </c>
      <c r="J41" s="3">
        <f>ADVWAG[[#This Row],[BB Comp 1]]+ADVWAG[[#This Row],[BB Comp 2]]</f>
        <v>72.033898305084747</v>
      </c>
      <c r="K41" s="3">
        <f>RANK(ADVWAG[[#This Row],[BB League Total]],ADVWAG[BB League Total], 0)</f>
        <v>14</v>
      </c>
      <c r="L41" s="2"/>
      <c r="M41" s="2">
        <v>0</v>
      </c>
      <c r="N41" s="3">
        <f>ADVWAG[[#This Row],[UB Comp 1]]+ADVWAG[[#This Row],[UB Comp 2]]</f>
        <v>0</v>
      </c>
      <c r="O41" s="3">
        <f>RANK(ADVWAG[[#This Row],[UB League Total]],ADVWAG[UB League Total], 0)</f>
        <v>29</v>
      </c>
      <c r="P41" s="2"/>
      <c r="Q41" s="2">
        <v>0</v>
      </c>
      <c r="R41" s="3">
        <f>ADVWAG[[#This Row],[VT Comp 1]]+ADVWAG[[#This Row],[VT Comp 2]]</f>
        <v>0</v>
      </c>
      <c r="S41" s="3">
        <f>RANK(ADVWAG[[#This Row],[VT League Total]],ADVWAG[VT League Total], 0)</f>
        <v>46</v>
      </c>
      <c r="T41" s="2"/>
      <c r="U41" s="2">
        <v>85.254691689008027</v>
      </c>
      <c r="V41" s="3">
        <f>ADVWAG[[#This Row],[AA Comp 1]]+ADVWAG[[#This Row],[AA Comp 2]]</f>
        <v>85.254691689008027</v>
      </c>
      <c r="W41" s="3">
        <f>RANK(ADVWAG[[#This Row],[AA League Total]],ADVWAG[AA League Total], 0)</f>
        <v>40</v>
      </c>
    </row>
    <row r="42" spans="1:23" x14ac:dyDescent="0.2">
      <c r="A42"/>
      <c r="B42" t="s">
        <v>79</v>
      </c>
      <c r="C42" t="s">
        <v>303</v>
      </c>
      <c r="E42" s="4">
        <v>69.924812030075188</v>
      </c>
      <c r="F42" s="10">
        <f>ADVWAG[[#This Row],[FX Comp 1]]+ADVWAG[[#This Row],[FX Comp 2]]</f>
        <v>69.924812030075188</v>
      </c>
      <c r="G42" s="6">
        <f>RANK(ADVWAG[[#This Row],[FX League Total]],ADVWAG[FX League Total], 0)</f>
        <v>50</v>
      </c>
      <c r="I42" s="4">
        <v>0</v>
      </c>
      <c r="J42" s="10">
        <f>ADVWAG[[#This Row],[BB Comp 1]]+ADVWAG[[#This Row],[BB Comp 2]]</f>
        <v>0</v>
      </c>
      <c r="K42" s="6">
        <f>RANK(ADVWAG[[#This Row],[BB League Total]],ADVWAG[BB League Total], 0)</f>
        <v>21</v>
      </c>
      <c r="M42" s="4">
        <v>87.4015748031496</v>
      </c>
      <c r="N42" s="10">
        <f>ADVWAG[[#This Row],[UB Comp 1]]+ADVWAG[[#This Row],[UB Comp 2]]</f>
        <v>87.4015748031496</v>
      </c>
      <c r="O42" s="6">
        <f>RANK(ADVWAG[[#This Row],[UB League Total]],ADVWAG[UB League Total], 0)</f>
        <v>21</v>
      </c>
      <c r="Q42" s="4">
        <v>92.561983471074399</v>
      </c>
      <c r="R42" s="10">
        <f>ADVWAG[[#This Row],[VT Comp 1]]+ADVWAG[[#This Row],[VT Comp 2]]</f>
        <v>92.561983471074399</v>
      </c>
      <c r="S42" s="6">
        <f>RANK(ADVWAG[[#This Row],[VT League Total]],ADVWAG[VT League Total], 0)</f>
        <v>35</v>
      </c>
      <c r="U42" s="4">
        <v>84.718498659517422</v>
      </c>
      <c r="V42" s="10">
        <f>ADVWAG[[#This Row],[AA Comp 1]]+ADVWAG[[#This Row],[AA Comp 2]]</f>
        <v>84.718498659517422</v>
      </c>
      <c r="W42" s="6">
        <f>RANK(ADVWAG[[#This Row],[AA League Total]],ADVWAG[AA League Total], 0)</f>
        <v>41</v>
      </c>
    </row>
    <row r="43" spans="1:23" x14ac:dyDescent="0.2">
      <c r="A43" s="1"/>
      <c r="B43" s="1" t="s">
        <v>63</v>
      </c>
      <c r="C43" s="1" t="s">
        <v>124</v>
      </c>
      <c r="D43">
        <v>85.611510791366911</v>
      </c>
      <c r="E43"/>
      <c r="F43" s="10">
        <f>ADVWAG[[#This Row],[FX Comp 1]]+ADVWAG[[#This Row],[FX Comp 2]]</f>
        <v>85.611510791366911</v>
      </c>
      <c r="G43" s="6">
        <f>RANK(ADVWAG[[#This Row],[FX League Total]],ADVWAG[FX League Total], 0)</f>
        <v>39</v>
      </c>
      <c r="H43">
        <v>0</v>
      </c>
      <c r="I43"/>
      <c r="J43" s="10">
        <f>ADVWAG[[#This Row],[BB Comp 1]]+ADVWAG[[#This Row],[BB Comp 2]]</f>
        <v>0</v>
      </c>
      <c r="K43" s="6">
        <f>RANK(ADVWAG[[#This Row],[BB League Total]],ADVWAG[BB League Total], 0)</f>
        <v>21</v>
      </c>
      <c r="L43">
        <v>61.016949152542367</v>
      </c>
      <c r="M43"/>
      <c r="N43" s="10">
        <f>ADVWAG[[#This Row],[UB Comp 1]]+ADVWAG[[#This Row],[UB Comp 2]]</f>
        <v>61.016949152542367</v>
      </c>
      <c r="O43" s="6">
        <f>RANK(ADVWAG[[#This Row],[UB League Total]],ADVWAG[UB League Total], 0)</f>
        <v>28</v>
      </c>
      <c r="P43">
        <v>90.756302521008408</v>
      </c>
      <c r="Q43"/>
      <c r="R43" s="10">
        <f>ADVWAG[[#This Row],[VT Comp 1]]+ADVWAG[[#This Row],[VT Comp 2]]</f>
        <v>90.756302521008408</v>
      </c>
      <c r="S43" s="6">
        <f>RANK(ADVWAG[[#This Row],[VT League Total]],ADVWAG[VT League Total], 0)</f>
        <v>38</v>
      </c>
      <c r="T43">
        <v>80.376344086021504</v>
      </c>
      <c r="U43"/>
      <c r="V43" s="10">
        <f>ADVWAG[[#This Row],[AA Comp 1]]+ADVWAG[[#This Row],[AA Comp 2]]</f>
        <v>80.376344086021504</v>
      </c>
      <c r="W43" s="6">
        <f>RANK(ADVWAG[[#This Row],[AA League Total]],ADVWAG[AA League Total], 0)</f>
        <v>42</v>
      </c>
    </row>
    <row r="44" spans="1:23" x14ac:dyDescent="0.2">
      <c r="A44" s="21"/>
      <c r="B44" s="21" t="s">
        <v>63</v>
      </c>
      <c r="C44" s="19" t="s">
        <v>316</v>
      </c>
      <c r="D44"/>
      <c r="E44">
        <v>75.187969924812023</v>
      </c>
      <c r="F44" s="10">
        <f>ADVWAG[[#This Row],[FX Comp 1]]+ADVWAG[[#This Row],[FX Comp 2]]</f>
        <v>75.187969924812023</v>
      </c>
      <c r="G44" s="6">
        <f>RANK(ADVWAG[[#This Row],[FX League Total]],ADVWAG[FX League Total], 0)</f>
        <v>48</v>
      </c>
      <c r="H44"/>
      <c r="I44">
        <v>58.474576271186429</v>
      </c>
      <c r="J44" s="10">
        <f>ADVWAG[[#This Row],[BB Comp 1]]+ADVWAG[[#This Row],[BB Comp 2]]</f>
        <v>58.474576271186429</v>
      </c>
      <c r="K44" s="6">
        <f>RANK(ADVWAG[[#This Row],[BB League Total]],ADVWAG[BB League Total], 0)</f>
        <v>20</v>
      </c>
      <c r="L44"/>
      <c r="M44">
        <v>0</v>
      </c>
      <c r="N44" s="10">
        <f>ADVWAG[[#This Row],[UB Comp 1]]+ADVWAG[[#This Row],[UB Comp 2]]</f>
        <v>0</v>
      </c>
      <c r="O44" s="6">
        <f>RANK(ADVWAG[[#This Row],[UB League Total]],ADVWAG[UB League Total], 0)</f>
        <v>29</v>
      </c>
      <c r="P44"/>
      <c r="Q44">
        <v>0</v>
      </c>
      <c r="R44" s="10">
        <f>ADVWAG[[#This Row],[VT Comp 1]]+ADVWAG[[#This Row],[VT Comp 2]]</f>
        <v>0</v>
      </c>
      <c r="S44" s="6">
        <f>RANK(ADVWAG[[#This Row],[VT League Total]],ADVWAG[VT League Total], 0)</f>
        <v>46</v>
      </c>
      <c r="T44"/>
      <c r="U44">
        <v>73.190348525469147</v>
      </c>
      <c r="V44" s="10">
        <f>ADVWAG[[#This Row],[AA Comp 1]]+ADVWAG[[#This Row],[AA Comp 2]]</f>
        <v>73.190348525469147</v>
      </c>
      <c r="W44" s="6">
        <f>RANK(ADVWAG[[#This Row],[AA League Total]],ADVWAG[AA League Total], 0)</f>
        <v>43</v>
      </c>
    </row>
    <row r="45" spans="1:23" x14ac:dyDescent="0.2">
      <c r="A45"/>
      <c r="B45" t="s">
        <v>42</v>
      </c>
      <c r="C45" s="19" t="s">
        <v>311</v>
      </c>
      <c r="D45"/>
      <c r="E45">
        <v>90.977443609022544</v>
      </c>
      <c r="F45" s="10">
        <f>ADVWAG[[#This Row],[FX Comp 1]]+ADVWAG[[#This Row],[FX Comp 2]]</f>
        <v>90.977443609022544</v>
      </c>
      <c r="G45" s="6">
        <f>RANK(ADVWAG[[#This Row],[FX League Total]],ADVWAG[FX League Total], 0)</f>
        <v>32</v>
      </c>
      <c r="H45"/>
      <c r="I45">
        <v>0</v>
      </c>
      <c r="J45" s="10">
        <f>ADVWAG[[#This Row],[BB Comp 1]]+ADVWAG[[#This Row],[BB Comp 2]]</f>
        <v>0</v>
      </c>
      <c r="K45" s="6">
        <f>RANK(ADVWAG[[#This Row],[BB League Total]],ADVWAG[BB League Total], 0)</f>
        <v>21</v>
      </c>
      <c r="L45"/>
      <c r="M45">
        <v>0</v>
      </c>
      <c r="N45" s="10">
        <f>ADVWAG[[#This Row],[UB Comp 1]]+ADVWAG[[#This Row],[UB Comp 2]]</f>
        <v>0</v>
      </c>
      <c r="O45" s="6">
        <f>RANK(ADVWAG[[#This Row],[UB League Total]],ADVWAG[UB League Total], 0)</f>
        <v>29</v>
      </c>
      <c r="P45"/>
      <c r="Q45">
        <v>94.628099173553721</v>
      </c>
      <c r="R45" s="10">
        <f>ADVWAG[[#This Row],[VT Comp 1]]+ADVWAG[[#This Row],[VT Comp 2]]</f>
        <v>94.628099173553721</v>
      </c>
      <c r="S45" s="6">
        <f>RANK(ADVWAG[[#This Row],[VT League Total]],ADVWAG[VT League Total], 0)</f>
        <v>28</v>
      </c>
      <c r="T45"/>
      <c r="U45">
        <v>63.136729222520103</v>
      </c>
      <c r="V45" s="10">
        <f>ADVWAG[[#This Row],[AA Comp 1]]+ADVWAG[[#This Row],[AA Comp 2]]</f>
        <v>63.136729222520103</v>
      </c>
      <c r="W45" s="6">
        <f>RANK(ADVWAG[[#This Row],[AA League Total]],ADVWAG[AA League Total], 0)</f>
        <v>44</v>
      </c>
    </row>
    <row r="46" spans="1:23" x14ac:dyDescent="0.2">
      <c r="A46"/>
      <c r="B46" t="s">
        <v>42</v>
      </c>
      <c r="C46" s="19" t="s">
        <v>177</v>
      </c>
      <c r="D46"/>
      <c r="E46">
        <v>39.097744360902247</v>
      </c>
      <c r="F46" s="10">
        <f>ADVWAG[[#This Row],[FX Comp 1]]+ADVWAG[[#This Row],[FX Comp 2]]</f>
        <v>39.097744360902247</v>
      </c>
      <c r="G46" s="6">
        <f>RANK(ADVWAG[[#This Row],[FX League Total]],ADVWAG[FX League Total], 0)</f>
        <v>51</v>
      </c>
      <c r="H46"/>
      <c r="I46">
        <v>63.559322033898304</v>
      </c>
      <c r="J46" s="10">
        <f>ADVWAG[[#This Row],[BB Comp 1]]+ADVWAG[[#This Row],[BB Comp 2]]</f>
        <v>63.559322033898304</v>
      </c>
      <c r="K46" s="6">
        <f>RANK(ADVWAG[[#This Row],[BB League Total]],ADVWAG[BB League Total], 0)</f>
        <v>17</v>
      </c>
      <c r="L46"/>
      <c r="M46">
        <v>0</v>
      </c>
      <c r="N46" s="10">
        <f>ADVWAG[[#This Row],[UB Comp 1]]+ADVWAG[[#This Row],[UB Comp 2]]</f>
        <v>0</v>
      </c>
      <c r="O46" s="6">
        <f>RANK(ADVWAG[[#This Row],[UB League Total]],ADVWAG[UB League Total], 0)</f>
        <v>29</v>
      </c>
      <c r="P46"/>
      <c r="Q46">
        <v>0</v>
      </c>
      <c r="R46" s="10">
        <f>ADVWAG[[#This Row],[VT Comp 1]]+ADVWAG[[#This Row],[VT Comp 2]]</f>
        <v>0</v>
      </c>
      <c r="S46" s="6">
        <f>RANK(ADVWAG[[#This Row],[VT League Total]],ADVWAG[VT League Total], 0)</f>
        <v>46</v>
      </c>
      <c r="T46"/>
      <c r="U46">
        <v>62.198391420911513</v>
      </c>
      <c r="V46" s="10">
        <f>ADVWAG[[#This Row],[AA Comp 1]]+ADVWAG[[#This Row],[AA Comp 2]]</f>
        <v>62.198391420911513</v>
      </c>
      <c r="W46" s="6">
        <f>RANK(ADVWAG[[#This Row],[AA League Total]],ADVWAG[AA League Total], 0)</f>
        <v>45</v>
      </c>
    </row>
    <row r="47" spans="1:23" x14ac:dyDescent="0.2">
      <c r="A47"/>
      <c r="B47" s="21" t="s">
        <v>51</v>
      </c>
      <c r="C47" s="19" t="s">
        <v>321</v>
      </c>
      <c r="D47"/>
      <c r="E47">
        <v>81.954887218045116</v>
      </c>
      <c r="F47" s="10">
        <f>ADVWAG[[#This Row],[FX Comp 1]]+ADVWAG[[#This Row],[FX Comp 2]]</f>
        <v>81.954887218045116</v>
      </c>
      <c r="G47" s="6">
        <f>RANK(ADVWAG[[#This Row],[FX League Total]],ADVWAG[FX League Total], 0)</f>
        <v>42</v>
      </c>
      <c r="H47"/>
      <c r="I47">
        <v>0</v>
      </c>
      <c r="J47" s="10">
        <f>ADVWAG[[#This Row],[BB Comp 1]]+ADVWAG[[#This Row],[BB Comp 2]]</f>
        <v>0</v>
      </c>
      <c r="K47" s="6">
        <f>RANK(ADVWAG[[#This Row],[BB League Total]],ADVWAG[BB League Total], 0)</f>
        <v>21</v>
      </c>
      <c r="L47"/>
      <c r="M47">
        <v>0</v>
      </c>
      <c r="N47" s="10">
        <f>ADVWAG[[#This Row],[UB Comp 1]]+ADVWAG[[#This Row],[UB Comp 2]]</f>
        <v>0</v>
      </c>
      <c r="O47" s="6">
        <f>RANK(ADVWAG[[#This Row],[UB League Total]],ADVWAG[UB League Total], 0)</f>
        <v>29</v>
      </c>
      <c r="P47"/>
      <c r="Q47">
        <v>91.32231404958678</v>
      </c>
      <c r="R47" s="10">
        <f>ADVWAG[[#This Row],[VT Comp 1]]+ADVWAG[[#This Row],[VT Comp 2]]</f>
        <v>91.32231404958678</v>
      </c>
      <c r="S47" s="6">
        <f>RANK(ADVWAG[[#This Row],[VT League Total]],ADVWAG[VT League Total], 0)</f>
        <v>37</v>
      </c>
      <c r="T47"/>
      <c r="U47">
        <v>58.847184986595181</v>
      </c>
      <c r="V47" s="10">
        <f>ADVWAG[[#This Row],[AA Comp 1]]+ADVWAG[[#This Row],[AA Comp 2]]</f>
        <v>58.847184986595181</v>
      </c>
      <c r="W47" s="6">
        <f>RANK(ADVWAG[[#This Row],[AA League Total]],ADVWAG[AA League Total], 0)</f>
        <v>46</v>
      </c>
    </row>
    <row r="48" spans="1:23" x14ac:dyDescent="0.2">
      <c r="A48" s="1"/>
      <c r="B48" s="1" t="s">
        <v>51</v>
      </c>
      <c r="C48" s="1" t="s">
        <v>140</v>
      </c>
      <c r="D48" s="4">
        <v>77.697841726618705</v>
      </c>
      <c r="F48" s="10">
        <f>ADVWAG[[#This Row],[FX Comp 1]]+ADVWAG[[#This Row],[FX Comp 2]]</f>
        <v>77.697841726618705</v>
      </c>
      <c r="G48" s="6">
        <f>RANK(ADVWAG[[#This Row],[FX League Total]],ADVWAG[FX League Total], 0)</f>
        <v>46</v>
      </c>
      <c r="H48" s="4">
        <v>0</v>
      </c>
      <c r="J48" s="10">
        <f>ADVWAG[[#This Row],[BB Comp 1]]+ADVWAG[[#This Row],[BB Comp 2]]</f>
        <v>0</v>
      </c>
      <c r="K48" s="6">
        <f>RANK(ADVWAG[[#This Row],[BB League Total]],ADVWAG[BB League Total], 0)</f>
        <v>21</v>
      </c>
      <c r="L48" s="4">
        <v>0</v>
      </c>
      <c r="N48" s="10">
        <f>ADVWAG[[#This Row],[UB Comp 1]]+ADVWAG[[#This Row],[UB Comp 2]]</f>
        <v>0</v>
      </c>
      <c r="O48" s="6">
        <f>RANK(ADVWAG[[#This Row],[UB League Total]],ADVWAG[UB League Total], 0)</f>
        <v>29</v>
      </c>
      <c r="P48" s="4">
        <v>89.915966386554615</v>
      </c>
      <c r="R48" s="10">
        <f>ADVWAG[[#This Row],[VT Comp 1]]+ADVWAG[[#This Row],[VT Comp 2]]</f>
        <v>89.915966386554615</v>
      </c>
      <c r="S48" s="6">
        <f>RANK(ADVWAG[[#This Row],[VT League Total]],ADVWAG[VT League Total], 0)</f>
        <v>40</v>
      </c>
      <c r="T48" s="4">
        <v>57.795698924731177</v>
      </c>
      <c r="V48" s="10">
        <f>ADVWAG[[#This Row],[AA Comp 1]]+ADVWAG[[#This Row],[AA Comp 2]]</f>
        <v>57.795698924731177</v>
      </c>
      <c r="W48" s="6">
        <f>RANK(ADVWAG[[#This Row],[AA League Total]],ADVWAG[AA League Total], 0)</f>
        <v>47</v>
      </c>
    </row>
    <row r="49" spans="1:23" x14ac:dyDescent="0.2">
      <c r="A49"/>
      <c r="B49" t="s">
        <v>50</v>
      </c>
      <c r="C49" t="s">
        <v>189</v>
      </c>
      <c r="E49" s="4">
        <v>70.676691729323295</v>
      </c>
      <c r="F49" s="10">
        <f>ADVWAG[[#This Row],[FX Comp 1]]+ADVWAG[[#This Row],[FX Comp 2]]</f>
        <v>70.676691729323295</v>
      </c>
      <c r="G49" s="6">
        <f>RANK(ADVWAG[[#This Row],[FX League Total]],ADVWAG[FX League Total], 0)</f>
        <v>49</v>
      </c>
      <c r="I49" s="4">
        <v>0</v>
      </c>
      <c r="J49" s="10">
        <f>ADVWAG[[#This Row],[BB Comp 1]]+ADVWAG[[#This Row],[BB Comp 2]]</f>
        <v>0</v>
      </c>
      <c r="K49" s="6">
        <f>RANK(ADVWAG[[#This Row],[BB League Total]],ADVWAG[BB League Total], 0)</f>
        <v>21</v>
      </c>
      <c r="M49" s="4">
        <v>0</v>
      </c>
      <c r="N49" s="10">
        <f>ADVWAG[[#This Row],[UB Comp 1]]+ADVWAG[[#This Row],[UB Comp 2]]</f>
        <v>0</v>
      </c>
      <c r="O49" s="6">
        <f>RANK(ADVWAG[[#This Row],[UB League Total]],ADVWAG[UB League Total], 0)</f>
        <v>29</v>
      </c>
      <c r="Q49" s="4">
        <v>86.776859504132233</v>
      </c>
      <c r="R49" s="10">
        <f>ADVWAG[[#This Row],[VT Comp 1]]+ADVWAG[[#This Row],[VT Comp 2]]</f>
        <v>86.776859504132233</v>
      </c>
      <c r="S49" s="6">
        <f>RANK(ADVWAG[[#This Row],[VT League Total]],ADVWAG[VT League Total], 0)</f>
        <v>45</v>
      </c>
      <c r="U49" s="4">
        <v>53.351206434316346</v>
      </c>
      <c r="V49" s="10">
        <f>ADVWAG[[#This Row],[AA Comp 1]]+ADVWAG[[#This Row],[AA Comp 2]]</f>
        <v>53.351206434316346</v>
      </c>
      <c r="W49" s="6">
        <f>RANK(ADVWAG[[#This Row],[AA League Total]],ADVWAG[AA League Total], 0)</f>
        <v>48</v>
      </c>
    </row>
    <row r="50" spans="1:23" x14ac:dyDescent="0.2">
      <c r="A50" s="21"/>
      <c r="B50" s="21" t="s">
        <v>63</v>
      </c>
      <c r="C50" s="19" t="s">
        <v>317</v>
      </c>
      <c r="D50"/>
      <c r="E50">
        <v>80.451127819548859</v>
      </c>
      <c r="F50" s="10">
        <f>ADVWAG[[#This Row],[FX Comp 1]]+ADVWAG[[#This Row],[FX Comp 2]]</f>
        <v>80.451127819548859</v>
      </c>
      <c r="G50" s="6">
        <f>RANK(ADVWAG[[#This Row],[FX League Total]],ADVWAG[FX League Total], 0)</f>
        <v>45</v>
      </c>
      <c r="H50"/>
      <c r="I50">
        <v>62.711864406779647</v>
      </c>
      <c r="J50" s="10">
        <f>ADVWAG[[#This Row],[BB Comp 1]]+ADVWAG[[#This Row],[BB Comp 2]]</f>
        <v>62.711864406779647</v>
      </c>
      <c r="K50" s="6">
        <f>RANK(ADVWAG[[#This Row],[BB League Total]],ADVWAG[BB League Total], 0)</f>
        <v>18</v>
      </c>
      <c r="L50"/>
      <c r="M50">
        <v>0</v>
      </c>
      <c r="N50" s="10">
        <f>ADVWAG[[#This Row],[UB Comp 1]]+ADVWAG[[#This Row],[UB Comp 2]]</f>
        <v>0</v>
      </c>
      <c r="O50" s="6">
        <f>RANK(ADVWAG[[#This Row],[UB League Total]],ADVWAG[UB League Total], 0)</f>
        <v>29</v>
      </c>
      <c r="P50"/>
      <c r="Q50">
        <v>0</v>
      </c>
      <c r="R50" s="10">
        <f>ADVWAG[[#This Row],[VT Comp 1]]+ADVWAG[[#This Row],[VT Comp 2]]</f>
        <v>0</v>
      </c>
      <c r="S50" s="6">
        <f>RANK(ADVWAG[[#This Row],[VT League Total]],ADVWAG[VT League Total], 0)</f>
        <v>46</v>
      </c>
      <c r="T50"/>
      <c r="U50">
        <v>48.525469168900791</v>
      </c>
      <c r="V50" s="10">
        <f>ADVWAG[[#This Row],[AA Comp 1]]+ADVWAG[[#This Row],[AA Comp 2]]</f>
        <v>48.525469168900791</v>
      </c>
      <c r="W50" s="6">
        <f>RANK(ADVWAG[[#This Row],[AA League Total]],ADVWAG[AA League Total], 0)</f>
        <v>49</v>
      </c>
    </row>
    <row r="51" spans="1:23" x14ac:dyDescent="0.2">
      <c r="A51"/>
      <c r="B51" t="s">
        <v>42</v>
      </c>
      <c r="C51" s="19" t="s">
        <v>310</v>
      </c>
      <c r="D51"/>
      <c r="E51">
        <v>81.203007518796994</v>
      </c>
      <c r="F51" s="10">
        <f>ADVWAG[[#This Row],[FX Comp 1]]+ADVWAG[[#This Row],[FX Comp 2]]</f>
        <v>81.203007518796994</v>
      </c>
      <c r="G51" s="6">
        <f>RANK(ADVWAG[[#This Row],[FX League Total]],ADVWAG[FX League Total], 0)</f>
        <v>44</v>
      </c>
      <c r="H51"/>
      <c r="I51">
        <v>60.169491525423723</v>
      </c>
      <c r="J51" s="10">
        <f>ADVWAG[[#This Row],[BB Comp 1]]+ADVWAG[[#This Row],[BB Comp 2]]</f>
        <v>60.169491525423723</v>
      </c>
      <c r="K51" s="6">
        <f>RANK(ADVWAG[[#This Row],[BB League Total]],ADVWAG[BB League Total], 0)</f>
        <v>19</v>
      </c>
      <c r="L51"/>
      <c r="M51">
        <v>0</v>
      </c>
      <c r="N51" s="10">
        <f>ADVWAG[[#This Row],[UB Comp 1]]+ADVWAG[[#This Row],[UB Comp 2]]</f>
        <v>0</v>
      </c>
      <c r="O51" s="6">
        <f>RANK(ADVWAG[[#This Row],[UB League Total]],ADVWAG[UB League Total], 0)</f>
        <v>29</v>
      </c>
      <c r="P51"/>
      <c r="Q51">
        <v>0</v>
      </c>
      <c r="R51" s="10">
        <f>ADVWAG[[#This Row],[VT Comp 1]]+ADVWAG[[#This Row],[VT Comp 2]]</f>
        <v>0</v>
      </c>
      <c r="S51" s="6">
        <f>RANK(ADVWAG[[#This Row],[VT League Total]],ADVWAG[VT League Total], 0)</f>
        <v>46</v>
      </c>
      <c r="T51"/>
      <c r="U51">
        <v>47.98927613941018</v>
      </c>
      <c r="V51" s="10">
        <f>ADVWAG[[#This Row],[AA Comp 1]]+ADVWAG[[#This Row],[AA Comp 2]]</f>
        <v>47.98927613941018</v>
      </c>
      <c r="W51" s="6">
        <f>RANK(ADVWAG[[#This Row],[AA League Total]],ADVWAG[AA League Total], 0)</f>
        <v>50</v>
      </c>
    </row>
    <row r="52" spans="1:23" x14ac:dyDescent="0.2">
      <c r="A52" s="1"/>
      <c r="B52" s="1" t="s">
        <v>103</v>
      </c>
      <c r="C52" s="1" t="s">
        <v>134</v>
      </c>
      <c r="D52" s="4">
        <v>94.244604316546756</v>
      </c>
      <c r="F52" s="10">
        <f>ADVWAG[[#This Row],[FX Comp 1]]+ADVWAG[[#This Row],[FX Comp 2]]</f>
        <v>94.244604316546756</v>
      </c>
      <c r="G52" s="6">
        <f>RANK(ADVWAG[[#This Row],[FX League Total]],ADVWAG[FX League Total], 0)</f>
        <v>24</v>
      </c>
      <c r="H52" s="4">
        <v>0</v>
      </c>
      <c r="J52" s="10">
        <f>ADVWAG[[#This Row],[BB Comp 1]]+ADVWAG[[#This Row],[BB Comp 2]]</f>
        <v>0</v>
      </c>
      <c r="K52" s="6">
        <f>RANK(ADVWAG[[#This Row],[BB League Total]],ADVWAG[BB League Total], 0)</f>
        <v>21</v>
      </c>
      <c r="L52" s="4">
        <v>0</v>
      </c>
      <c r="N52" s="10">
        <f>ADVWAG[[#This Row],[UB Comp 1]]+ADVWAG[[#This Row],[UB Comp 2]]</f>
        <v>0</v>
      </c>
      <c r="O52" s="6">
        <f>RANK(ADVWAG[[#This Row],[UB League Total]],ADVWAG[UB League Total], 0)</f>
        <v>29</v>
      </c>
      <c r="P52" s="4">
        <v>0</v>
      </c>
      <c r="R52" s="10">
        <f>ADVWAG[[#This Row],[VT Comp 1]]+ADVWAG[[#This Row],[VT Comp 2]]</f>
        <v>0</v>
      </c>
      <c r="S52" s="6">
        <f>RANK(ADVWAG[[#This Row],[VT League Total]],ADVWAG[VT League Total], 0)</f>
        <v>46</v>
      </c>
      <c r="T52" s="4">
        <v>35.215053763440856</v>
      </c>
      <c r="V52" s="10">
        <f>ADVWAG[[#This Row],[AA Comp 1]]+ADVWAG[[#This Row],[AA Comp 2]]</f>
        <v>35.215053763440856</v>
      </c>
      <c r="W52" s="6">
        <f>RANK(ADVWAG[[#This Row],[AA League Total]],ADVWAG[AA League Total], 0)</f>
        <v>51</v>
      </c>
    </row>
    <row r="53" spans="1:23" x14ac:dyDescent="0.2">
      <c r="A53" s="1"/>
      <c r="B53" s="1" t="s">
        <v>103</v>
      </c>
      <c r="C53" s="1" t="s">
        <v>135</v>
      </c>
      <c r="D53" s="4">
        <v>0</v>
      </c>
      <c r="F53" s="10">
        <f>ADVWAG[[#This Row],[FX Comp 1]]+ADVWAG[[#This Row],[FX Comp 2]]</f>
        <v>0</v>
      </c>
      <c r="G53" s="6">
        <f>RANK(ADVWAG[[#This Row],[FX League Total]],ADVWAG[FX League Total], 0)</f>
        <v>52</v>
      </c>
      <c r="H53" s="4">
        <v>0</v>
      </c>
      <c r="J53" s="10">
        <f>ADVWAG[[#This Row],[BB Comp 1]]+ADVWAG[[#This Row],[BB Comp 2]]</f>
        <v>0</v>
      </c>
      <c r="K53" s="6">
        <f>RANK(ADVWAG[[#This Row],[BB League Total]],ADVWAG[BB League Total], 0)</f>
        <v>21</v>
      </c>
      <c r="L53" s="4">
        <v>0</v>
      </c>
      <c r="N53" s="10">
        <f>ADVWAG[[#This Row],[UB Comp 1]]+ADVWAG[[#This Row],[UB Comp 2]]</f>
        <v>0</v>
      </c>
      <c r="O53" s="6">
        <f>RANK(ADVWAG[[#This Row],[UB League Total]],ADVWAG[UB League Total], 0)</f>
        <v>29</v>
      </c>
      <c r="P53" s="4">
        <v>94.537815126050418</v>
      </c>
      <c r="R53" s="10">
        <f>ADVWAG[[#This Row],[VT Comp 1]]+ADVWAG[[#This Row],[VT Comp 2]]</f>
        <v>94.537815126050418</v>
      </c>
      <c r="S53" s="6">
        <f>RANK(ADVWAG[[#This Row],[VT League Total]],ADVWAG[VT League Total], 0)</f>
        <v>29</v>
      </c>
      <c r="T53" s="4">
        <v>30.241935483870964</v>
      </c>
      <c r="V53" s="10">
        <f>ADVWAG[[#This Row],[AA Comp 1]]+ADVWAG[[#This Row],[AA Comp 2]]</f>
        <v>30.241935483870964</v>
      </c>
      <c r="W53" s="6">
        <f>RANK(ADVWAG[[#This Row],[AA League Total]],ADVWAG[AA League Total], 0)</f>
        <v>52</v>
      </c>
    </row>
    <row r="54" spans="1:23" x14ac:dyDescent="0.2">
      <c r="A54"/>
      <c r="B54" t="s">
        <v>50</v>
      </c>
      <c r="C54" t="s">
        <v>186</v>
      </c>
      <c r="E54" s="4">
        <v>0</v>
      </c>
      <c r="F54" s="10">
        <f>ADVWAG[[#This Row],[FX Comp 1]]+ADVWAG[[#This Row],[FX Comp 2]]</f>
        <v>0</v>
      </c>
      <c r="G54" s="6">
        <f>RANK(ADVWAG[[#This Row],[FX League Total]],ADVWAG[FX League Total], 0)</f>
        <v>52</v>
      </c>
      <c r="I54" s="4">
        <v>0</v>
      </c>
      <c r="J54" s="10">
        <f>ADVWAG[[#This Row],[BB Comp 1]]+ADVWAG[[#This Row],[BB Comp 2]]</f>
        <v>0</v>
      </c>
      <c r="K54" s="6">
        <f>RANK(ADVWAG[[#This Row],[BB League Total]],ADVWAG[BB League Total], 0)</f>
        <v>21</v>
      </c>
      <c r="M54" s="4">
        <v>0</v>
      </c>
      <c r="N54" s="10">
        <f>ADVWAG[[#This Row],[UB Comp 1]]+ADVWAG[[#This Row],[UB Comp 2]]</f>
        <v>0</v>
      </c>
      <c r="O54" s="6">
        <f>RANK(ADVWAG[[#This Row],[UB League Total]],ADVWAG[UB League Total], 0)</f>
        <v>29</v>
      </c>
      <c r="Q54" s="4">
        <v>0</v>
      </c>
      <c r="R54" s="10">
        <f>ADVWAG[[#This Row],[VT Comp 1]]+ADVWAG[[#This Row],[VT Comp 2]]</f>
        <v>0</v>
      </c>
      <c r="S54" s="6">
        <f>RANK(ADVWAG[[#This Row],[VT League Total]],ADVWAG[VT League Total], 0)</f>
        <v>46</v>
      </c>
      <c r="U54" s="4">
        <v>0</v>
      </c>
      <c r="V54" s="10">
        <f>ADVWAG[[#This Row],[AA Comp 1]]+ADVWAG[[#This Row],[AA Comp 2]]</f>
        <v>0</v>
      </c>
      <c r="W54" s="6">
        <f>RANK(ADVWAG[[#This Row],[AA League Total]],ADVWAG[AA League Total], 0)</f>
        <v>53</v>
      </c>
    </row>
    <row r="55" spans="1:23" x14ac:dyDescent="0.2">
      <c r="A55" s="21"/>
      <c r="B55" s="21" t="s">
        <v>43</v>
      </c>
      <c r="C55" s="19" t="s">
        <v>313</v>
      </c>
      <c r="D55"/>
      <c r="E55">
        <v>0</v>
      </c>
      <c r="F55" s="10">
        <f>ADVWAG[[#This Row],[FX Comp 1]]+ADVWAG[[#This Row],[FX Comp 2]]</f>
        <v>0</v>
      </c>
      <c r="G55" s="6">
        <f>RANK(ADVWAG[[#This Row],[FX League Total]],ADVWAG[FX League Total], 0)</f>
        <v>52</v>
      </c>
      <c r="H55"/>
      <c r="I55">
        <v>0</v>
      </c>
      <c r="J55" s="10">
        <f>ADVWAG[[#This Row],[BB Comp 1]]+ADVWAG[[#This Row],[BB Comp 2]]</f>
        <v>0</v>
      </c>
      <c r="K55" s="6">
        <f>RANK(ADVWAG[[#This Row],[BB League Total]],ADVWAG[BB League Total], 0)</f>
        <v>21</v>
      </c>
      <c r="L55"/>
      <c r="M55">
        <v>0</v>
      </c>
      <c r="N55" s="10">
        <f>ADVWAG[[#This Row],[UB Comp 1]]+ADVWAG[[#This Row],[UB Comp 2]]</f>
        <v>0</v>
      </c>
      <c r="O55" s="6">
        <f>RANK(ADVWAG[[#This Row],[UB League Total]],ADVWAG[UB League Total], 0)</f>
        <v>29</v>
      </c>
      <c r="P55"/>
      <c r="Q55">
        <v>0</v>
      </c>
      <c r="R55" s="10">
        <f>ADVWAG[[#This Row],[VT Comp 1]]+ADVWAG[[#This Row],[VT Comp 2]]</f>
        <v>0</v>
      </c>
      <c r="S55" s="6">
        <f>RANK(ADVWAG[[#This Row],[VT League Total]],ADVWAG[VT League Total], 0)</f>
        <v>46</v>
      </c>
      <c r="T55"/>
      <c r="U55">
        <v>0</v>
      </c>
      <c r="V55" s="10">
        <f>ADVWAG[[#This Row],[AA Comp 1]]+ADVWAG[[#This Row],[AA Comp 2]]</f>
        <v>0</v>
      </c>
      <c r="W55" s="6">
        <f>RANK(ADVWAG[[#This Row],[AA League Total]],ADVWAG[AA League Total], 0)</f>
        <v>53</v>
      </c>
    </row>
    <row r="56" spans="1:23" x14ac:dyDescent="0.2">
      <c r="A56" s="1"/>
      <c r="B56" s="1" t="s">
        <v>63</v>
      </c>
      <c r="C56" s="1" t="s">
        <v>125</v>
      </c>
      <c r="D56" s="4">
        <v>0</v>
      </c>
      <c r="F56" s="10">
        <f>ADVWAG[[#This Row],[FX Comp 1]]+ADVWAG[[#This Row],[FX Comp 2]]</f>
        <v>0</v>
      </c>
      <c r="G56" s="6">
        <f>RANK(ADVWAG[[#This Row],[FX League Total]],ADVWAG[FX League Total], 0)</f>
        <v>52</v>
      </c>
      <c r="H56" s="4">
        <v>0</v>
      </c>
      <c r="J56" s="10">
        <f>ADVWAG[[#This Row],[BB Comp 1]]+ADVWAG[[#This Row],[BB Comp 2]]</f>
        <v>0</v>
      </c>
      <c r="K56" s="6">
        <f>RANK(ADVWAG[[#This Row],[BB League Total]],ADVWAG[BB League Total], 0)</f>
        <v>21</v>
      </c>
      <c r="L56" s="4">
        <v>0</v>
      </c>
      <c r="N56" s="10">
        <f>ADVWAG[[#This Row],[UB Comp 1]]+ADVWAG[[#This Row],[UB Comp 2]]</f>
        <v>0</v>
      </c>
      <c r="O56" s="6">
        <f>RANK(ADVWAG[[#This Row],[UB League Total]],ADVWAG[UB League Total], 0)</f>
        <v>29</v>
      </c>
      <c r="P56" s="4">
        <v>0</v>
      </c>
      <c r="R56" s="10">
        <f>ADVWAG[[#This Row],[VT Comp 1]]+ADVWAG[[#This Row],[VT Comp 2]]</f>
        <v>0</v>
      </c>
      <c r="S56" s="6">
        <f>RANK(ADVWAG[[#This Row],[VT League Total]],ADVWAG[VT League Total], 0)</f>
        <v>46</v>
      </c>
      <c r="T56" s="4">
        <v>0</v>
      </c>
      <c r="V56" s="10">
        <f>ADVWAG[[#This Row],[AA Comp 1]]+ADVWAG[[#This Row],[AA Comp 2]]</f>
        <v>0</v>
      </c>
      <c r="W56" s="6">
        <f>RANK(ADVWAG[[#This Row],[AA League Total]],ADVWAG[AA League Total], 0)</f>
        <v>53</v>
      </c>
    </row>
    <row r="57" spans="1:23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</row>
    <row r="58" spans="1:23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</row>
    <row r="59" spans="1:23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</row>
    <row r="60" spans="1:23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</row>
    <row r="61" spans="1:23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</row>
    <row r="62" spans="1:23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</row>
    <row r="63" spans="1:23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</row>
    <row r="64" spans="1:23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</row>
    <row r="65" spans="1:23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</row>
    <row r="66" spans="1:23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</row>
    <row r="67" spans="1:23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</row>
    <row r="68" spans="1:23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</row>
    <row r="69" spans="1:23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</row>
    <row r="70" spans="1:23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</row>
    <row r="71" spans="1:23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</row>
    <row r="72" spans="1:23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</row>
    <row r="73" spans="1:23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</row>
    <row r="74" spans="1:23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</row>
    <row r="75" spans="1:23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</row>
    <row r="76" spans="1:23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</row>
    <row r="77" spans="1:23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</row>
    <row r="78" spans="1:23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</row>
    <row r="79" spans="1:23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</row>
    <row r="80" spans="1:23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</row>
    <row r="81" spans="1:23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</row>
    <row r="82" spans="1:23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</row>
    <row r="83" spans="1:23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</row>
    <row r="84" spans="1:23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</row>
    <row r="85" spans="1:23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</row>
    <row r="86" spans="1:23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</row>
    <row r="87" spans="1:23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</row>
  </sheetData>
  <conditionalFormatting sqref="G2:G56 K2:K56 O2:O56 S2:S56 W2:W56">
    <cfRule type="cellIs" dxfId="8" priority="1" operator="equal">
      <formula>3</formula>
    </cfRule>
    <cfRule type="cellIs" dxfId="7" priority="2" operator="equal">
      <formula>2</formula>
    </cfRule>
    <cfRule type="cellIs" dxfId="6" priority="3" operator="equal">
      <formula>1</formula>
    </cfRule>
  </conditionalFormatting>
  <pageMargins left="0.7" right="0.7" top="0.75" bottom="0.75" header="0.3" footer="0.3"/>
  <pageSetup paperSize="8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University Points</vt:lpstr>
      <vt:lpstr>FIG MAG</vt:lpstr>
      <vt:lpstr>Advanced+ MAG</vt:lpstr>
      <vt:lpstr>Advanced MAG</vt:lpstr>
      <vt:lpstr>Intermediate MAG</vt:lpstr>
      <vt:lpstr>Novice MAG</vt:lpstr>
      <vt:lpstr>FIG WAG</vt:lpstr>
      <vt:lpstr>Adv+ WAG</vt:lpstr>
      <vt:lpstr>Advanced WAG</vt:lpstr>
      <vt:lpstr>Intermediate WAG</vt:lpstr>
      <vt:lpstr>Novice WAG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Senter</dc:creator>
  <cp:keywords/>
  <dc:description/>
  <cp:lastModifiedBy>Ella Wadley</cp:lastModifiedBy>
  <cp:revision/>
  <cp:lastPrinted>2024-12-02T09:32:12Z</cp:lastPrinted>
  <dcterms:created xsi:type="dcterms:W3CDTF">2019-05-27T13:51:29Z</dcterms:created>
  <dcterms:modified xsi:type="dcterms:W3CDTF">2026-03-09T18:29:40Z</dcterms:modified>
  <cp:category/>
  <cp:contentStatus/>
</cp:coreProperties>
</file>